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igor.dominicini\Desktop\PLAYGROUND ITARANINHA\"/>
    </mc:Choice>
  </mc:AlternateContent>
  <xr:revisionPtr revIDLastSave="0" documentId="13_ncr:1_{1F78EE1A-9763-438F-941A-8A9EE0CA3476}" xr6:coauthVersionLast="45" xr6:coauthVersionMax="45" xr10:uidLastSave="{00000000-0000-0000-0000-000000000000}"/>
  <bookViews>
    <workbookView xWindow="-120" yWindow="-120" windowWidth="29040" windowHeight="15840" xr2:uid="{E2F4B7D9-65FC-4FF8-B2A4-3B74B42A64A5}"/>
  </bookViews>
  <sheets>
    <sheet name="Resumo" sheetId="3" r:id="rId1"/>
    <sheet name="Planilha Orçamentária" sheetId="2" r:id="rId2"/>
    <sheet name="Memorial de Cálculo" sheetId="1" r:id="rId3"/>
    <sheet name="Cronograma" sheetId="4" r:id="rId4"/>
    <sheet name="Composição" sheetId="5" r:id="rId5"/>
    <sheet name="Detalhamento do BDI" sheetId="6" r:id="rId6"/>
    <sheet name="COTAÇÃO" sheetId="7" r:id="rId7"/>
  </sheets>
  <externalReferences>
    <externalReference r:id="rId8"/>
  </externalReferences>
  <definedNames>
    <definedName name="_xlnm.Print_Area" localSheetId="4">Composição!$A$1:$F$375</definedName>
    <definedName name="_xlnm.Print_Area" localSheetId="6">COTAÇÃO!$A$1:$F$205</definedName>
    <definedName name="_xlnm.Print_Area" localSheetId="3">Cronograma!$A$1:$G$26</definedName>
    <definedName name="_xlnm.Print_Area" localSheetId="5">'Detalhamento do BDI'!$A$1:$E$56</definedName>
    <definedName name="_xlnm.Print_Area" localSheetId="2">'Memorial de Cálculo'!$A$1:$M$541</definedName>
    <definedName name="_xlnm.Print_Area" localSheetId="1">'Planilha Orçamentária'!$A$1:$H$110</definedName>
    <definedName name="_xlnm.Print_Area" localSheetId="0">Resumo!$A$1:$D$36</definedName>
    <definedName name="_xlnm.Print_Titles" localSheetId="3">Cronograma!$A:$D,Cronograma!$1:$6</definedName>
    <definedName name="_xlnm.Print_Titles" localSheetId="1">'Planilha Orçamentária'!$6:$7</definedName>
    <definedName name="_xlnm.Print_Titles" localSheetId="0">Resumo!$A:$D,Resumo!$1:$6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2" l="1"/>
  <c r="H108" i="2" l="1"/>
  <c r="H101" i="2"/>
  <c r="H93" i="2"/>
  <c r="H85" i="2"/>
  <c r="H65" i="2"/>
  <c r="H52" i="2"/>
  <c r="H20" i="2"/>
  <c r="K430" i="1"/>
  <c r="L430" i="1"/>
  <c r="B26" i="5" l="1"/>
  <c r="C25" i="5"/>
  <c r="G107" i="2"/>
  <c r="G106" i="2"/>
  <c r="G105" i="2"/>
  <c r="H104" i="2"/>
  <c r="G100" i="2"/>
  <c r="G99" i="2"/>
  <c r="G98" i="2"/>
  <c r="G97" i="2"/>
  <c r="G96" i="2"/>
  <c r="G84" i="2"/>
  <c r="G83" i="2"/>
  <c r="G79" i="2" l="1"/>
  <c r="G74" i="2"/>
  <c r="G72" i="2"/>
  <c r="G71" i="2"/>
  <c r="G64" i="2" l="1"/>
  <c r="G63" i="2"/>
  <c r="G62" i="2"/>
  <c r="G61" i="2"/>
  <c r="H60" i="2" l="1"/>
  <c r="F52" i="7"/>
  <c r="G57" i="2"/>
  <c r="G56" i="2"/>
  <c r="G55" i="2"/>
  <c r="G51" i="2"/>
  <c r="B329" i="5"/>
  <c r="F317" i="5"/>
  <c r="G47" i="2"/>
  <c r="G43" i="2"/>
  <c r="G34" i="2"/>
  <c r="G39" i="2"/>
  <c r="G35" i="2"/>
  <c r="G30" i="2"/>
  <c r="G28" i="2"/>
  <c r="G45" i="2"/>
  <c r="G41" i="2"/>
  <c r="G37" i="2"/>
  <c r="G32" i="2"/>
  <c r="G27" i="2"/>
  <c r="G48" i="2"/>
  <c r="G44" i="2"/>
  <c r="G40" i="2"/>
  <c r="G36" i="2"/>
  <c r="G31" i="2"/>
  <c r="G26" i="2"/>
  <c r="G25" i="2"/>
  <c r="G24" i="2"/>
  <c r="G19" i="2"/>
  <c r="G18" i="2"/>
  <c r="B375" i="5"/>
  <c r="D362" i="5"/>
  <c r="F362" i="5" s="1"/>
  <c r="F361" i="5"/>
  <c r="D360" i="5"/>
  <c r="F360" i="5" s="1"/>
  <c r="F363" i="5" s="1"/>
  <c r="C368" i="5" s="1"/>
  <c r="F356" i="5"/>
  <c r="F357" i="5" s="1"/>
  <c r="C367" i="5" s="1"/>
  <c r="F355" i="5"/>
  <c r="C372" i="5" l="1"/>
  <c r="C373" i="5" s="1"/>
  <c r="C371" i="5"/>
  <c r="C374" i="5" l="1"/>
  <c r="B142" i="5" l="1"/>
  <c r="F18" i="7"/>
  <c r="G15" i="2"/>
  <c r="G14" i="2"/>
  <c r="G13" i="2"/>
  <c r="G12" i="2"/>
  <c r="G11" i="2"/>
  <c r="G10" i="2"/>
  <c r="G9" i="2"/>
  <c r="B21" i="4"/>
  <c r="B19" i="4"/>
  <c r="B17" i="4"/>
  <c r="B15" i="4"/>
  <c r="B13" i="4"/>
  <c r="B11" i="4"/>
  <c r="B9" i="4"/>
  <c r="B7" i="4"/>
  <c r="B21" i="3"/>
  <c r="B19" i="3"/>
  <c r="B17" i="3"/>
  <c r="B15" i="3"/>
  <c r="B13" i="3"/>
  <c r="B11" i="3"/>
  <c r="B9" i="3"/>
  <c r="B7" i="3"/>
  <c r="L539" i="1"/>
  <c r="B538" i="1"/>
  <c r="L540" i="1"/>
  <c r="F107" i="2" s="1"/>
  <c r="L534" i="1"/>
  <c r="L535" i="1"/>
  <c r="L533" i="1"/>
  <c r="B532" i="1"/>
  <c r="L529" i="1"/>
  <c r="L530" i="1" s="1"/>
  <c r="F105" i="2" s="1"/>
  <c r="B528" i="1"/>
  <c r="L525" i="1"/>
  <c r="B523" i="1"/>
  <c r="L524" i="1"/>
  <c r="B522" i="1"/>
  <c r="H519" i="1"/>
  <c r="L519" i="1" s="1"/>
  <c r="H518" i="1"/>
  <c r="L518" i="1" s="1"/>
  <c r="H517" i="1"/>
  <c r="L517" i="1" s="1"/>
  <c r="B516" i="1"/>
  <c r="G513" i="1"/>
  <c r="L513" i="1" s="1"/>
  <c r="G512" i="1"/>
  <c r="L512" i="1" s="1"/>
  <c r="B511" i="1"/>
  <c r="D507" i="1"/>
  <c r="D508" i="1"/>
  <c r="L508" i="1"/>
  <c r="L507" i="1"/>
  <c r="B506" i="1"/>
  <c r="L503" i="1"/>
  <c r="L502" i="1"/>
  <c r="B501" i="1"/>
  <c r="L498" i="1"/>
  <c r="L497" i="1"/>
  <c r="B496" i="1"/>
  <c r="B495" i="1"/>
  <c r="L480" i="1"/>
  <c r="L474" i="1"/>
  <c r="L475" i="1"/>
  <c r="B491" i="1"/>
  <c r="B487" i="1"/>
  <c r="B483" i="1"/>
  <c r="B478" i="1"/>
  <c r="B472" i="1"/>
  <c r="L492" i="1"/>
  <c r="L493" i="1" s="1"/>
  <c r="F92" i="2" s="1"/>
  <c r="L488" i="1"/>
  <c r="L489" i="1" s="1"/>
  <c r="F91" i="2" s="1"/>
  <c r="B471" i="1"/>
  <c r="L484" i="1"/>
  <c r="L485" i="1" s="1"/>
  <c r="F90" i="2" s="1"/>
  <c r="L479" i="1"/>
  <c r="L473" i="1"/>
  <c r="L442" i="1"/>
  <c r="L438" i="1"/>
  <c r="H434" i="1"/>
  <c r="L434" i="1" s="1"/>
  <c r="H430" i="1"/>
  <c r="G426" i="1"/>
  <c r="L426" i="1" s="1"/>
  <c r="L422" i="1"/>
  <c r="G377" i="1"/>
  <c r="H377" i="1" s="1"/>
  <c r="G372" i="1"/>
  <c r="L372" i="1" s="1"/>
  <c r="F305" i="5"/>
  <c r="L367" i="1"/>
  <c r="L366" i="1"/>
  <c r="L365" i="1"/>
  <c r="L364" i="1"/>
  <c r="L363" i="1"/>
  <c r="L358" i="1"/>
  <c r="L359" i="1"/>
  <c r="L356" i="1"/>
  <c r="L357" i="1"/>
  <c r="L355" i="1"/>
  <c r="G343" i="1"/>
  <c r="L343" i="1" s="1"/>
  <c r="G344" i="1"/>
  <c r="L344" i="1" s="1"/>
  <c r="G345" i="1"/>
  <c r="L345" i="1" s="1"/>
  <c r="G346" i="1"/>
  <c r="L346" i="1" s="1"/>
  <c r="G347" i="1"/>
  <c r="L347" i="1" s="1"/>
  <c r="G348" i="1"/>
  <c r="L348" i="1" s="1"/>
  <c r="G349" i="1"/>
  <c r="L349" i="1" s="1"/>
  <c r="G350" i="1"/>
  <c r="L350" i="1" s="1"/>
  <c r="G351" i="1"/>
  <c r="L351" i="1" s="1"/>
  <c r="G342" i="1"/>
  <c r="L342" i="1" s="1"/>
  <c r="H329" i="1"/>
  <c r="L329" i="1" s="1"/>
  <c r="H330" i="1"/>
  <c r="L330" i="1" s="1"/>
  <c r="H331" i="1"/>
  <c r="L331" i="1" s="1"/>
  <c r="H332" i="1"/>
  <c r="L332" i="1" s="1"/>
  <c r="H333" i="1"/>
  <c r="L333" i="1" s="1"/>
  <c r="H334" i="1"/>
  <c r="L334" i="1" s="1"/>
  <c r="H335" i="1"/>
  <c r="L335" i="1" s="1"/>
  <c r="H336" i="1"/>
  <c r="L336" i="1" s="1"/>
  <c r="H337" i="1"/>
  <c r="L337" i="1" s="1"/>
  <c r="H328" i="1"/>
  <c r="L328" i="1" s="1"/>
  <c r="D323" i="1"/>
  <c r="J323" i="1" s="1"/>
  <c r="L323" i="1" s="1"/>
  <c r="D321" i="1"/>
  <c r="J321" i="1" s="1"/>
  <c r="L321" i="1" s="1"/>
  <c r="D324" i="1"/>
  <c r="J324" i="1" s="1"/>
  <c r="L324" i="1" s="1"/>
  <c r="D322" i="1"/>
  <c r="J322" i="1" s="1"/>
  <c r="L322" i="1" s="1"/>
  <c r="D320" i="1"/>
  <c r="J320" i="1" s="1"/>
  <c r="L320" i="1" s="1"/>
  <c r="D319" i="1"/>
  <c r="J319" i="1" s="1"/>
  <c r="L319" i="1" s="1"/>
  <c r="D318" i="1"/>
  <c r="J318" i="1" s="1"/>
  <c r="L318" i="1" s="1"/>
  <c r="D317" i="1"/>
  <c r="J317" i="1" s="1"/>
  <c r="L317" i="1" s="1"/>
  <c r="D316" i="1"/>
  <c r="J316" i="1" s="1"/>
  <c r="L316" i="1" s="1"/>
  <c r="D315" i="1"/>
  <c r="J315" i="1" s="1"/>
  <c r="L315" i="1" s="1"/>
  <c r="D314" i="1"/>
  <c r="J314" i="1" s="1"/>
  <c r="L314" i="1" s="1"/>
  <c r="D313" i="1"/>
  <c r="J313" i="1" s="1"/>
  <c r="L313" i="1" s="1"/>
  <c r="D312" i="1"/>
  <c r="J312" i="1" s="1"/>
  <c r="L312" i="1" s="1"/>
  <c r="D311" i="1"/>
  <c r="J311" i="1" s="1"/>
  <c r="L311" i="1" s="1"/>
  <c r="D310" i="1"/>
  <c r="J310" i="1" s="1"/>
  <c r="L310" i="1" s="1"/>
  <c r="D309" i="1"/>
  <c r="J309" i="1" s="1"/>
  <c r="L309" i="1" s="1"/>
  <c r="D308" i="1"/>
  <c r="J308" i="1" s="1"/>
  <c r="L308" i="1" s="1"/>
  <c r="D306" i="1"/>
  <c r="J306" i="1" s="1"/>
  <c r="L306" i="1" s="1"/>
  <c r="D307" i="1"/>
  <c r="J307" i="1" s="1"/>
  <c r="L307" i="1" s="1"/>
  <c r="D305" i="1"/>
  <c r="J305" i="1" s="1"/>
  <c r="L305" i="1" s="1"/>
  <c r="G294" i="1"/>
  <c r="G295" i="1"/>
  <c r="G296" i="1"/>
  <c r="G297" i="1"/>
  <c r="G298" i="1"/>
  <c r="G299" i="1"/>
  <c r="G300" i="1"/>
  <c r="G301" i="1"/>
  <c r="L536" i="1" l="1"/>
  <c r="F106" i="2" s="1"/>
  <c r="L504" i="1"/>
  <c r="F97" i="2" s="1"/>
  <c r="L526" i="1"/>
  <c r="F104" i="2" s="1"/>
  <c r="L509" i="1"/>
  <c r="F98" i="2" s="1"/>
  <c r="L520" i="1"/>
  <c r="F100" i="2" s="1"/>
  <c r="H100" i="2" s="1"/>
  <c r="L481" i="1"/>
  <c r="F89" i="2" s="1"/>
  <c r="L476" i="1"/>
  <c r="F88" i="2" s="1"/>
  <c r="L514" i="1"/>
  <c r="F99" i="2" s="1"/>
  <c r="L368" i="1"/>
  <c r="F49" i="2" s="1"/>
  <c r="L499" i="1"/>
  <c r="F96" i="2" s="1"/>
  <c r="L360" i="1"/>
  <c r="F48" i="2" s="1"/>
  <c r="L352" i="1"/>
  <c r="F47" i="2" s="1"/>
  <c r="L338" i="1"/>
  <c r="F45" i="2" s="1"/>
  <c r="L325" i="1"/>
  <c r="F44" i="2" s="1"/>
  <c r="L294" i="1"/>
  <c r="L295" i="1"/>
  <c r="L296" i="1"/>
  <c r="L297" i="1"/>
  <c r="L298" i="1"/>
  <c r="L299" i="1"/>
  <c r="L300" i="1"/>
  <c r="L301" i="1"/>
  <c r="G293" i="1"/>
  <c r="L293" i="1" s="1"/>
  <c r="G292" i="1"/>
  <c r="L292" i="1" s="1"/>
  <c r="H279" i="1"/>
  <c r="H280" i="1"/>
  <c r="L280" i="1" s="1"/>
  <c r="H281" i="1"/>
  <c r="L281" i="1" s="1"/>
  <c r="H282" i="1"/>
  <c r="L282" i="1" s="1"/>
  <c r="H283" i="1"/>
  <c r="H284" i="1"/>
  <c r="H285" i="1"/>
  <c r="L285" i="1" s="1"/>
  <c r="H286" i="1"/>
  <c r="L286" i="1" s="1"/>
  <c r="H287" i="1"/>
  <c r="L287" i="1" s="1"/>
  <c r="H278" i="1"/>
  <c r="L278" i="1" s="1"/>
  <c r="L283" i="1"/>
  <c r="L284" i="1"/>
  <c r="L279" i="1"/>
  <c r="J241" i="1"/>
  <c r="L241" i="1" s="1"/>
  <c r="J274" i="1"/>
  <c r="L274" i="1" s="1"/>
  <c r="J273" i="1"/>
  <c r="L273" i="1" s="1"/>
  <c r="J272" i="1"/>
  <c r="L272" i="1" s="1"/>
  <c r="J271" i="1"/>
  <c r="L271" i="1" s="1"/>
  <c r="J270" i="1"/>
  <c r="L270" i="1" s="1"/>
  <c r="J269" i="1"/>
  <c r="L269" i="1" s="1"/>
  <c r="J268" i="1"/>
  <c r="L268" i="1" s="1"/>
  <c r="J267" i="1"/>
  <c r="L267" i="1" s="1"/>
  <c r="J250" i="1"/>
  <c r="L250" i="1" s="1"/>
  <c r="J242" i="1"/>
  <c r="L242" i="1" s="1"/>
  <c r="J243" i="1"/>
  <c r="L243" i="1" s="1"/>
  <c r="J244" i="1"/>
  <c r="L244" i="1" s="1"/>
  <c r="J245" i="1"/>
  <c r="L245" i="1" s="1"/>
  <c r="J246" i="1"/>
  <c r="L246" i="1" s="1"/>
  <c r="J247" i="1"/>
  <c r="L247" i="1" s="1"/>
  <c r="J248" i="1"/>
  <c r="L248" i="1" s="1"/>
  <c r="J249" i="1"/>
  <c r="L249" i="1" s="1"/>
  <c r="J251" i="1"/>
  <c r="L251" i="1" s="1"/>
  <c r="J252" i="1"/>
  <c r="L252" i="1" s="1"/>
  <c r="J253" i="1"/>
  <c r="L253" i="1" s="1"/>
  <c r="J254" i="1"/>
  <c r="L254" i="1" s="1"/>
  <c r="J255" i="1"/>
  <c r="L255" i="1" s="1"/>
  <c r="J256" i="1"/>
  <c r="L256" i="1" s="1"/>
  <c r="J257" i="1"/>
  <c r="L257" i="1" s="1"/>
  <c r="J258" i="1"/>
  <c r="L258" i="1" s="1"/>
  <c r="J259" i="1"/>
  <c r="L259" i="1" s="1"/>
  <c r="J260" i="1"/>
  <c r="L260" i="1" s="1"/>
  <c r="J261" i="1"/>
  <c r="L261" i="1" s="1"/>
  <c r="J262" i="1"/>
  <c r="L262" i="1" s="1"/>
  <c r="J263" i="1"/>
  <c r="L263" i="1" s="1"/>
  <c r="J264" i="1"/>
  <c r="L264" i="1" s="1"/>
  <c r="J265" i="1"/>
  <c r="L265" i="1" s="1"/>
  <c r="J266" i="1"/>
  <c r="L266" i="1" s="1"/>
  <c r="J240" i="1"/>
  <c r="L240" i="1" s="1"/>
  <c r="J239" i="1"/>
  <c r="L239" i="1" s="1"/>
  <c r="G232" i="1"/>
  <c r="L232" i="1" s="1"/>
  <c r="G229" i="1"/>
  <c r="L229" i="1" s="1"/>
  <c r="G230" i="1"/>
  <c r="L230" i="1" s="1"/>
  <c r="G231" i="1"/>
  <c r="L231" i="1" s="1"/>
  <c r="G233" i="1"/>
  <c r="L233" i="1" s="1"/>
  <c r="G234" i="1"/>
  <c r="L234" i="1" s="1"/>
  <c r="G235" i="1"/>
  <c r="L235" i="1" s="1"/>
  <c r="G228" i="1"/>
  <c r="L228" i="1" s="1"/>
  <c r="G227" i="1"/>
  <c r="L227" i="1" s="1"/>
  <c r="G226" i="1"/>
  <c r="L226" i="1" s="1"/>
  <c r="H203" i="1"/>
  <c r="L203" i="1" s="1"/>
  <c r="H204" i="1"/>
  <c r="L204" i="1" s="1"/>
  <c r="H205" i="1"/>
  <c r="L205" i="1" s="1"/>
  <c r="H206" i="1"/>
  <c r="L206" i="1" s="1"/>
  <c r="H207" i="1"/>
  <c r="L207" i="1" s="1"/>
  <c r="H208" i="1"/>
  <c r="L208" i="1" s="1"/>
  <c r="H209" i="1"/>
  <c r="L209" i="1" s="1"/>
  <c r="H210" i="1"/>
  <c r="L210" i="1" s="1"/>
  <c r="H211" i="1"/>
  <c r="L211" i="1" s="1"/>
  <c r="H212" i="1"/>
  <c r="L212" i="1" s="1"/>
  <c r="H213" i="1"/>
  <c r="L213" i="1" s="1"/>
  <c r="H214" i="1"/>
  <c r="L214" i="1" s="1"/>
  <c r="H215" i="1"/>
  <c r="L215" i="1" s="1"/>
  <c r="H216" i="1"/>
  <c r="L216" i="1" s="1"/>
  <c r="H217" i="1"/>
  <c r="L217" i="1" s="1"/>
  <c r="H218" i="1"/>
  <c r="L218" i="1" s="1"/>
  <c r="H219" i="1"/>
  <c r="L219" i="1" s="1"/>
  <c r="H220" i="1"/>
  <c r="L220" i="1" s="1"/>
  <c r="H221" i="1"/>
  <c r="L221" i="1" s="1"/>
  <c r="H202" i="1"/>
  <c r="L202" i="1" s="1"/>
  <c r="D198" i="1"/>
  <c r="J198" i="1" s="1"/>
  <c r="L198" i="1" s="1"/>
  <c r="D197" i="1"/>
  <c r="J197" i="1" s="1"/>
  <c r="L197" i="1" s="1"/>
  <c r="D196" i="1"/>
  <c r="J196" i="1" s="1"/>
  <c r="L196" i="1" s="1"/>
  <c r="D195" i="1"/>
  <c r="J195" i="1" s="1"/>
  <c r="L195" i="1" s="1"/>
  <c r="D194" i="1"/>
  <c r="J194" i="1" s="1"/>
  <c r="L194" i="1" s="1"/>
  <c r="D193" i="1"/>
  <c r="J193" i="1" s="1"/>
  <c r="L193" i="1" s="1"/>
  <c r="D192" i="1"/>
  <c r="J192" i="1" s="1"/>
  <c r="L192" i="1" s="1"/>
  <c r="D190" i="1"/>
  <c r="J190" i="1" s="1"/>
  <c r="L190" i="1" s="1"/>
  <c r="D191" i="1"/>
  <c r="J191" i="1" s="1"/>
  <c r="L191" i="1" s="1"/>
  <c r="D189" i="1"/>
  <c r="J189" i="1" s="1"/>
  <c r="L189" i="1" s="1"/>
  <c r="D188" i="1"/>
  <c r="J188" i="1" s="1"/>
  <c r="L188" i="1" s="1"/>
  <c r="D187" i="1"/>
  <c r="J187" i="1" s="1"/>
  <c r="L187" i="1" s="1"/>
  <c r="D186" i="1"/>
  <c r="J186" i="1" s="1"/>
  <c r="L186" i="1" s="1"/>
  <c r="D185" i="1"/>
  <c r="J185" i="1" s="1"/>
  <c r="L185" i="1" s="1"/>
  <c r="D184" i="1"/>
  <c r="J184" i="1" s="1"/>
  <c r="L184" i="1" s="1"/>
  <c r="D183" i="1"/>
  <c r="J183" i="1" s="1"/>
  <c r="L183" i="1" s="1"/>
  <c r="D182" i="1"/>
  <c r="J182" i="1" s="1"/>
  <c r="L182" i="1" s="1"/>
  <c r="D181" i="1"/>
  <c r="J181" i="1" s="1"/>
  <c r="L181" i="1" s="1"/>
  <c r="D180" i="1"/>
  <c r="J180" i="1" s="1"/>
  <c r="L180" i="1" s="1"/>
  <c r="D179" i="1"/>
  <c r="J179" i="1" s="1"/>
  <c r="L179" i="1" s="1"/>
  <c r="D178" i="1"/>
  <c r="J178" i="1" s="1"/>
  <c r="L178" i="1" s="1"/>
  <c r="D177" i="1"/>
  <c r="J177" i="1" s="1"/>
  <c r="L177" i="1" s="1"/>
  <c r="D176" i="1"/>
  <c r="J176" i="1" s="1"/>
  <c r="L176" i="1" s="1"/>
  <c r="D175" i="1"/>
  <c r="J175" i="1" s="1"/>
  <c r="L175" i="1" s="1"/>
  <c r="D174" i="1"/>
  <c r="J174" i="1" s="1"/>
  <c r="L174" i="1" s="1"/>
  <c r="D173" i="1"/>
  <c r="J173" i="1" s="1"/>
  <c r="L173" i="1" s="1"/>
  <c r="D172" i="1"/>
  <c r="J172" i="1" s="1"/>
  <c r="L172" i="1" s="1"/>
  <c r="D171" i="1"/>
  <c r="J171" i="1" s="1"/>
  <c r="L171" i="1" s="1"/>
  <c r="D170" i="1"/>
  <c r="J170" i="1" s="1"/>
  <c r="L170" i="1" s="1"/>
  <c r="D169" i="1"/>
  <c r="J169" i="1" s="1"/>
  <c r="L169" i="1" s="1"/>
  <c r="D168" i="1"/>
  <c r="J168" i="1" s="1"/>
  <c r="L168" i="1" s="1"/>
  <c r="D167" i="1"/>
  <c r="J167" i="1" s="1"/>
  <c r="L167" i="1" s="1"/>
  <c r="D166" i="1"/>
  <c r="J166" i="1" s="1"/>
  <c r="L166" i="1" s="1"/>
  <c r="D165" i="1"/>
  <c r="J165" i="1" s="1"/>
  <c r="L165" i="1" s="1"/>
  <c r="D164" i="1"/>
  <c r="J164" i="1" s="1"/>
  <c r="L164" i="1" s="1"/>
  <c r="D163" i="1"/>
  <c r="J163" i="1" s="1"/>
  <c r="L163" i="1" s="1"/>
  <c r="D162" i="1"/>
  <c r="J162" i="1" s="1"/>
  <c r="D161" i="1"/>
  <c r="J161" i="1" s="1"/>
  <c r="D160" i="1"/>
  <c r="J160" i="1" s="1"/>
  <c r="L160" i="1" s="1"/>
  <c r="D159" i="1"/>
  <c r="J159" i="1" s="1"/>
  <c r="L159" i="1" s="1"/>
  <c r="G137" i="1"/>
  <c r="L137" i="1" s="1"/>
  <c r="G138" i="1"/>
  <c r="L138" i="1" s="1"/>
  <c r="G139" i="1"/>
  <c r="L139" i="1" s="1"/>
  <c r="G140" i="1"/>
  <c r="L140" i="1" s="1"/>
  <c r="G141" i="1"/>
  <c r="L141" i="1" s="1"/>
  <c r="G142" i="1"/>
  <c r="L142" i="1" s="1"/>
  <c r="G143" i="1"/>
  <c r="L143" i="1" s="1"/>
  <c r="G144" i="1"/>
  <c r="L144" i="1" s="1"/>
  <c r="G145" i="1"/>
  <c r="L145" i="1" s="1"/>
  <c r="G146" i="1"/>
  <c r="L146" i="1" s="1"/>
  <c r="G147" i="1"/>
  <c r="L147" i="1" s="1"/>
  <c r="G148" i="1"/>
  <c r="L148" i="1" s="1"/>
  <c r="G149" i="1"/>
  <c r="L149" i="1" s="1"/>
  <c r="G150" i="1"/>
  <c r="L150" i="1" s="1"/>
  <c r="G151" i="1"/>
  <c r="L151" i="1" s="1"/>
  <c r="G152" i="1"/>
  <c r="L152" i="1" s="1"/>
  <c r="G153" i="1"/>
  <c r="L153" i="1" s="1"/>
  <c r="G154" i="1"/>
  <c r="L154" i="1" s="1"/>
  <c r="G155" i="1"/>
  <c r="L155" i="1" s="1"/>
  <c r="G136" i="1"/>
  <c r="L136" i="1" s="1"/>
  <c r="H121" i="1"/>
  <c r="L121" i="1" s="1"/>
  <c r="H122" i="1"/>
  <c r="L122" i="1" s="1"/>
  <c r="H123" i="1"/>
  <c r="L123" i="1" s="1"/>
  <c r="H124" i="1"/>
  <c r="L124" i="1" s="1"/>
  <c r="H125" i="1"/>
  <c r="L125" i="1" s="1"/>
  <c r="H126" i="1"/>
  <c r="L126" i="1" s="1"/>
  <c r="H127" i="1"/>
  <c r="L127" i="1" s="1"/>
  <c r="H128" i="1"/>
  <c r="L128" i="1" s="1"/>
  <c r="H129" i="1"/>
  <c r="L129" i="1" s="1"/>
  <c r="H130" i="1"/>
  <c r="L130" i="1" s="1"/>
  <c r="H131" i="1"/>
  <c r="L131" i="1" s="1"/>
  <c r="H132" i="1"/>
  <c r="L132" i="1" s="1"/>
  <c r="H118" i="1"/>
  <c r="L118" i="1" s="1"/>
  <c r="H119" i="1"/>
  <c r="L119" i="1" s="1"/>
  <c r="H120" i="1"/>
  <c r="L120" i="1" s="1"/>
  <c r="H115" i="1"/>
  <c r="L115" i="1" s="1"/>
  <c r="H116" i="1"/>
  <c r="L116" i="1" s="1"/>
  <c r="H117" i="1"/>
  <c r="L117" i="1" s="1"/>
  <c r="H114" i="1"/>
  <c r="L114" i="1" s="1"/>
  <c r="H113" i="1"/>
  <c r="L113" i="1" s="1"/>
  <c r="D103" i="1"/>
  <c r="J103" i="1" s="1"/>
  <c r="L103" i="1" s="1"/>
  <c r="D102" i="1"/>
  <c r="J102" i="1" s="1"/>
  <c r="L102" i="1" s="1"/>
  <c r="D99" i="1"/>
  <c r="J99" i="1" s="1"/>
  <c r="L99" i="1" s="1"/>
  <c r="D98" i="1"/>
  <c r="J98" i="1" s="1"/>
  <c r="L98" i="1" s="1"/>
  <c r="D94" i="1"/>
  <c r="J94" i="1" s="1"/>
  <c r="L94" i="1" s="1"/>
  <c r="D95" i="1"/>
  <c r="J95" i="1" s="1"/>
  <c r="L95" i="1" s="1"/>
  <c r="D91" i="1"/>
  <c r="J91" i="1" s="1"/>
  <c r="L91" i="1" s="1"/>
  <c r="D90" i="1"/>
  <c r="J90" i="1" s="1"/>
  <c r="L90" i="1" s="1"/>
  <c r="G85" i="1"/>
  <c r="L85" i="1" s="1"/>
  <c r="G84" i="1"/>
  <c r="L84" i="1" s="1"/>
  <c r="H108" i="1"/>
  <c r="L108" i="1" s="1"/>
  <c r="H107" i="1"/>
  <c r="L107" i="1" s="1"/>
  <c r="H75" i="1"/>
  <c r="L302" i="1" l="1"/>
  <c r="F43" i="2" s="1"/>
  <c r="L288" i="1"/>
  <c r="F41" i="2" s="1"/>
  <c r="L275" i="1"/>
  <c r="F40" i="2" s="1"/>
  <c r="L236" i="1"/>
  <c r="F39" i="2" s="1"/>
  <c r="L222" i="1"/>
  <c r="F37" i="2" s="1"/>
  <c r="L161" i="1"/>
  <c r="L162" i="1"/>
  <c r="P181" i="1" s="1"/>
  <c r="L156" i="1"/>
  <c r="F35" i="2" s="1"/>
  <c r="L133" i="1"/>
  <c r="F34" i="2" s="1"/>
  <c r="L109" i="1"/>
  <c r="F32" i="2" s="1"/>
  <c r="L86" i="1"/>
  <c r="F30" i="2" s="1"/>
  <c r="L104" i="1"/>
  <c r="F31" i="2" s="1"/>
  <c r="H74" i="1"/>
  <c r="J70" i="1"/>
  <c r="L70" i="1" s="1"/>
  <c r="J69" i="1"/>
  <c r="L69" i="1" s="1"/>
  <c r="G64" i="1"/>
  <c r="L64" i="1" s="1"/>
  <c r="G65" i="1"/>
  <c r="L65" i="1" s="1"/>
  <c r="G63" i="1"/>
  <c r="L63" i="1" s="1"/>
  <c r="H59" i="1"/>
  <c r="L59" i="1" s="1"/>
  <c r="H58" i="1"/>
  <c r="L58" i="1" s="1"/>
  <c r="H57" i="1"/>
  <c r="L57" i="1" s="1"/>
  <c r="G51" i="1"/>
  <c r="L17" i="1"/>
  <c r="G9" i="1"/>
  <c r="L9" i="1" s="1"/>
  <c r="L10" i="1" s="1"/>
  <c r="F9" i="2" s="1"/>
  <c r="H9" i="2" s="1"/>
  <c r="B8" i="1"/>
  <c r="L199" i="1" l="1"/>
  <c r="O325" i="1" s="1"/>
  <c r="P180" i="1"/>
  <c r="L71" i="1"/>
  <c r="F26" i="2" s="1"/>
  <c r="L66" i="1"/>
  <c r="F25" i="2" s="1"/>
  <c r="L60" i="1"/>
  <c r="L468" i="1"/>
  <c r="L469" i="1" s="1"/>
  <c r="F84" i="2" s="1"/>
  <c r="B467" i="1"/>
  <c r="L464" i="1"/>
  <c r="L465" i="1" s="1"/>
  <c r="F83" i="2" s="1"/>
  <c r="B463" i="1"/>
  <c r="B462" i="1"/>
  <c r="F24" i="2" l="1"/>
  <c r="L459" i="1"/>
  <c r="H455" i="1"/>
  <c r="L455" i="1" s="1"/>
  <c r="H451" i="1"/>
  <c r="L451" i="1" s="1"/>
  <c r="L447" i="1"/>
  <c r="F338" i="5"/>
  <c r="F337" i="5"/>
  <c r="F333" i="5"/>
  <c r="F334" i="5" s="1"/>
  <c r="C343" i="5" s="1"/>
  <c r="C347" i="5" s="1"/>
  <c r="F202" i="7"/>
  <c r="F203" i="7" s="1"/>
  <c r="F198" i="7"/>
  <c r="F199" i="7" s="1"/>
  <c r="F194" i="7"/>
  <c r="F195" i="7" s="1"/>
  <c r="F205" i="7" s="1"/>
  <c r="F185" i="7"/>
  <c r="F186" i="7" s="1"/>
  <c r="F181" i="7"/>
  <c r="F182" i="7" s="1"/>
  <c r="F177" i="7"/>
  <c r="F178" i="7" s="1"/>
  <c r="F168" i="7"/>
  <c r="F169" i="7" s="1"/>
  <c r="F164" i="7"/>
  <c r="F165" i="7" s="1"/>
  <c r="F160" i="7"/>
  <c r="F161" i="7" s="1"/>
  <c r="F171" i="7" s="1"/>
  <c r="F151" i="7"/>
  <c r="F152" i="7" s="1"/>
  <c r="F147" i="7"/>
  <c r="F148" i="7" s="1"/>
  <c r="F143" i="7"/>
  <c r="F144" i="7" s="1"/>
  <c r="F134" i="7"/>
  <c r="F135" i="7" s="1"/>
  <c r="F130" i="7"/>
  <c r="F131" i="7" s="1"/>
  <c r="F126" i="7"/>
  <c r="F127" i="7" s="1"/>
  <c r="F117" i="7"/>
  <c r="F118" i="7" s="1"/>
  <c r="F113" i="7"/>
  <c r="F114" i="7" s="1"/>
  <c r="F109" i="7"/>
  <c r="F110" i="7" s="1"/>
  <c r="F120" i="7" s="1"/>
  <c r="F100" i="7"/>
  <c r="F101" i="7" s="1"/>
  <c r="F96" i="7"/>
  <c r="F97" i="7" s="1"/>
  <c r="F92" i="7"/>
  <c r="F93" i="7" s="1"/>
  <c r="F83" i="7"/>
  <c r="F84" i="7" s="1"/>
  <c r="F79" i="7"/>
  <c r="F80" i="7" s="1"/>
  <c r="F75" i="7"/>
  <c r="F76" i="7" s="1"/>
  <c r="F66" i="7"/>
  <c r="F67" i="7" s="1"/>
  <c r="F62" i="7"/>
  <c r="F63" i="7" s="1"/>
  <c r="F58" i="7"/>
  <c r="F59" i="7" s="1"/>
  <c r="F49" i="7"/>
  <c r="F50" i="7" s="1"/>
  <c r="F45" i="7"/>
  <c r="F46" i="7" s="1"/>
  <c r="F41" i="7"/>
  <c r="F42" i="7" s="1"/>
  <c r="F32" i="7"/>
  <c r="F33" i="7" s="1"/>
  <c r="F28" i="7"/>
  <c r="F29" i="7" s="1"/>
  <c r="F24" i="7"/>
  <c r="F25" i="7" s="1"/>
  <c r="F35" i="7" s="1"/>
  <c r="F15" i="7"/>
  <c r="F16" i="7" s="1"/>
  <c r="F11" i="7"/>
  <c r="F12" i="7" s="1"/>
  <c r="F8" i="7"/>
  <c r="F7" i="7"/>
  <c r="A43" i="6"/>
  <c r="A40" i="6"/>
  <c r="F36" i="6"/>
  <c r="C32" i="6"/>
  <c r="C25" i="6" s="1"/>
  <c r="C36" i="6" s="1"/>
  <c r="F316" i="5"/>
  <c r="F315" i="5"/>
  <c r="F314" i="5"/>
  <c r="F313" i="5"/>
  <c r="F312" i="5"/>
  <c r="F311" i="5"/>
  <c r="F307" i="5"/>
  <c r="F306" i="5"/>
  <c r="C298" i="5"/>
  <c r="C297" i="5"/>
  <c r="F288" i="5"/>
  <c r="F289" i="5" s="1"/>
  <c r="C294" i="5" s="1"/>
  <c r="C281" i="5"/>
  <c r="C280" i="5"/>
  <c r="F271" i="5"/>
  <c r="F272" i="5" s="1"/>
  <c r="C277" i="5" s="1"/>
  <c r="C264" i="5"/>
  <c r="C263" i="5"/>
  <c r="F254" i="5"/>
  <c r="F255" i="5" s="1"/>
  <c r="C260" i="5" s="1"/>
  <c r="C247" i="5"/>
  <c r="C246" i="5"/>
  <c r="F237" i="5"/>
  <c r="F238" i="5" s="1"/>
  <c r="C243" i="5" s="1"/>
  <c r="F220" i="5"/>
  <c r="F221" i="5" s="1"/>
  <c r="C226" i="5" s="1"/>
  <c r="F216" i="5"/>
  <c r="F199" i="5"/>
  <c r="F198" i="5"/>
  <c r="F197" i="5"/>
  <c r="F193" i="5"/>
  <c r="F192" i="5"/>
  <c r="F175" i="5"/>
  <c r="F174" i="5"/>
  <c r="F173" i="5"/>
  <c r="F172" i="5"/>
  <c r="F168" i="5"/>
  <c r="F167" i="5"/>
  <c r="F150" i="5"/>
  <c r="F151" i="5" s="1"/>
  <c r="C156" i="5" s="1"/>
  <c r="F146" i="5"/>
  <c r="F147" i="5" s="1"/>
  <c r="C155" i="5" s="1"/>
  <c r="F129" i="5"/>
  <c r="F128" i="5"/>
  <c r="C134" i="5"/>
  <c r="F108" i="5"/>
  <c r="F109" i="5" s="1"/>
  <c r="C114" i="5" s="1"/>
  <c r="F104" i="5"/>
  <c r="F105" i="5" s="1"/>
  <c r="C113" i="5" s="1"/>
  <c r="C117" i="5" s="1"/>
  <c r="F87" i="5"/>
  <c r="F88" i="5" s="1"/>
  <c r="C93" i="5" s="1"/>
  <c r="F83" i="5"/>
  <c r="F82" i="5"/>
  <c r="F65" i="5"/>
  <c r="F64" i="5"/>
  <c r="G63" i="5"/>
  <c r="F63" i="5"/>
  <c r="F62" i="5"/>
  <c r="G61" i="5"/>
  <c r="F61" i="5"/>
  <c r="G60" i="5"/>
  <c r="F60" i="5"/>
  <c r="G59" i="5"/>
  <c r="F59" i="5"/>
  <c r="F55" i="5"/>
  <c r="F54" i="5"/>
  <c r="F36" i="5"/>
  <c r="F35" i="5"/>
  <c r="F31" i="5"/>
  <c r="F30" i="5"/>
  <c r="F13" i="5"/>
  <c r="F12" i="5"/>
  <c r="F8" i="5"/>
  <c r="F7" i="5"/>
  <c r="F84" i="5" l="1"/>
  <c r="C92" i="5" s="1"/>
  <c r="F169" i="5"/>
  <c r="C180" i="5" s="1"/>
  <c r="C184" i="5" s="1"/>
  <c r="F154" i="7"/>
  <c r="F86" i="7"/>
  <c r="F137" i="7"/>
  <c r="C248" i="5"/>
  <c r="C249" i="5" s="1"/>
  <c r="B250" i="5" s="1"/>
  <c r="F339" i="5"/>
  <c r="C344" i="5" s="1"/>
  <c r="F176" i="5"/>
  <c r="C181" i="5" s="1"/>
  <c r="C282" i="5"/>
  <c r="C283" i="5" s="1"/>
  <c r="B284" i="5" s="1"/>
  <c r="F56" i="5"/>
  <c r="C70" i="5" s="1"/>
  <c r="C75" i="5" s="1"/>
  <c r="F9" i="5"/>
  <c r="C18" i="5" s="1"/>
  <c r="F37" i="5"/>
  <c r="C42" i="5" s="1"/>
  <c r="G64" i="5"/>
  <c r="F14" i="5"/>
  <c r="C19" i="5" s="1"/>
  <c r="F200" i="5"/>
  <c r="C205" i="5" s="1"/>
  <c r="F308" i="5"/>
  <c r="C321" i="5" s="1"/>
  <c r="C325" i="5" s="1"/>
  <c r="F32" i="5"/>
  <c r="C41" i="5" s="1"/>
  <c r="C46" i="5" s="1"/>
  <c r="G65" i="5"/>
  <c r="F217" i="5"/>
  <c r="C225" i="5" s="1"/>
  <c r="C230" i="5" s="1"/>
  <c r="C231" i="5" s="1"/>
  <c r="F66" i="5"/>
  <c r="C71" i="5" s="1"/>
  <c r="F130" i="5"/>
  <c r="C135" i="5" s="1"/>
  <c r="F194" i="5"/>
  <c r="C204" i="5" s="1"/>
  <c r="C208" i="5" s="1"/>
  <c r="C265" i="5"/>
  <c r="C266" i="5" s="1"/>
  <c r="B267" i="5" s="1"/>
  <c r="C299" i="5"/>
  <c r="C300" i="5" s="1"/>
  <c r="B301" i="5" s="1"/>
  <c r="C322" i="5"/>
  <c r="C348" i="5"/>
  <c r="F69" i="7"/>
  <c r="F188" i="7"/>
  <c r="F103" i="7"/>
  <c r="C97" i="5"/>
  <c r="C98" i="5" s="1"/>
  <c r="C96" i="5"/>
  <c r="C185" i="5"/>
  <c r="C160" i="5"/>
  <c r="C161" i="5" s="1"/>
  <c r="C159" i="5"/>
  <c r="C139" i="5"/>
  <c r="C138" i="5"/>
  <c r="C118" i="5"/>
  <c r="C119" i="5" s="1"/>
  <c r="C209" i="5" l="1"/>
  <c r="C210" i="5" s="1"/>
  <c r="C74" i="5"/>
  <c r="C23" i="5"/>
  <c r="C22" i="5"/>
  <c r="C76" i="5"/>
  <c r="C349" i="5"/>
  <c r="C350" i="5" s="1"/>
  <c r="B351" i="5" s="1"/>
  <c r="C24" i="5"/>
  <c r="C47" i="5"/>
  <c r="C48" i="5" s="1"/>
  <c r="B49" i="5" s="1"/>
  <c r="C45" i="5"/>
  <c r="C326" i="5"/>
  <c r="C327" i="5" s="1"/>
  <c r="C328" i="5" s="1"/>
  <c r="C186" i="5"/>
  <c r="C187" i="5" s="1"/>
  <c r="B188" i="5" s="1"/>
  <c r="C140" i="5"/>
  <c r="C141" i="5" s="1"/>
  <c r="C229" i="5"/>
  <c r="C120" i="5"/>
  <c r="B121" i="5" s="1"/>
  <c r="C162" i="5"/>
  <c r="B163" i="5" s="1"/>
  <c r="C77" i="5"/>
  <c r="B78" i="5" s="1"/>
  <c r="C99" i="5"/>
  <c r="B100" i="5" s="1"/>
  <c r="C232" i="5"/>
  <c r="B233" i="5" s="1"/>
  <c r="C211" i="5" l="1"/>
  <c r="B212" i="5" s="1"/>
  <c r="B458" i="1"/>
  <c r="B454" i="1"/>
  <c r="B450" i="1"/>
  <c r="B446" i="1"/>
  <c r="B445" i="1"/>
  <c r="L460" i="1"/>
  <c r="F79" i="2" s="1"/>
  <c r="L456" i="1"/>
  <c r="F78" i="2" s="1"/>
  <c r="L452" i="1"/>
  <c r="F77" i="2" s="1"/>
  <c r="L448" i="1"/>
  <c r="F76" i="2" s="1"/>
  <c r="B441" i="1"/>
  <c r="B437" i="1"/>
  <c r="B433" i="1"/>
  <c r="B429" i="1"/>
  <c r="B425" i="1"/>
  <c r="B421" i="1"/>
  <c r="B419" i="1"/>
  <c r="B420" i="1"/>
  <c r="L443" i="1"/>
  <c r="F74" i="2" s="1"/>
  <c r="L439" i="1"/>
  <c r="F73" i="2" s="1"/>
  <c r="L435" i="1"/>
  <c r="F72" i="2" s="1"/>
  <c r="L431" i="1"/>
  <c r="F71" i="2" s="1"/>
  <c r="L427" i="1"/>
  <c r="F70" i="2" s="1"/>
  <c r="L423" i="1"/>
  <c r="F69" i="2" s="1"/>
  <c r="L387" i="1"/>
  <c r="L388" i="1" s="1"/>
  <c r="F57" i="2" s="1"/>
  <c r="G416" i="1"/>
  <c r="L416" i="1" s="1"/>
  <c r="G415" i="1"/>
  <c r="L415" i="1" s="1"/>
  <c r="L417" i="1" l="1"/>
  <c r="F64" i="2" s="1"/>
  <c r="G411" i="1"/>
  <c r="L411" i="1" s="1"/>
  <c r="L412" i="1" s="1"/>
  <c r="F63" i="2" s="1"/>
  <c r="G407" i="1"/>
  <c r="L407" i="1" s="1"/>
  <c r="L408" i="1" s="1"/>
  <c r="F62" i="2" s="1"/>
  <c r="G403" i="1"/>
  <c r="L403" i="1" s="1"/>
  <c r="L404" i="1" s="1"/>
  <c r="F61" i="2" s="1"/>
  <c r="L399" i="1"/>
  <c r="L400" i="1" s="1"/>
  <c r="F60" i="2" s="1"/>
  <c r="L395" i="1"/>
  <c r="L396" i="1" s="1"/>
  <c r="F59" i="2" s="1"/>
  <c r="L391" i="1"/>
  <c r="L392" i="1" s="1"/>
  <c r="F58" i="2" s="1"/>
  <c r="L383" i="1"/>
  <c r="L382" i="1"/>
  <c r="L381" i="1"/>
  <c r="L377" i="1"/>
  <c r="L378" i="1" s="1"/>
  <c r="F55" i="2" s="1"/>
  <c r="B414" i="1"/>
  <c r="B410" i="1"/>
  <c r="B406" i="1"/>
  <c r="B402" i="1"/>
  <c r="B398" i="1"/>
  <c r="B394" i="1"/>
  <c r="B390" i="1"/>
  <c r="B386" i="1"/>
  <c r="B380" i="1"/>
  <c r="B375" i="1"/>
  <c r="B376" i="1"/>
  <c r="B371" i="1"/>
  <c r="B370" i="1"/>
  <c r="L373" i="1"/>
  <c r="F51" i="2" s="1"/>
  <c r="B362" i="1"/>
  <c r="B354" i="1"/>
  <c r="B341" i="1"/>
  <c r="B340" i="1"/>
  <c r="B327" i="1"/>
  <c r="B304" i="1"/>
  <c r="B291" i="1"/>
  <c r="B290" i="1"/>
  <c r="B277" i="1"/>
  <c r="B238" i="1"/>
  <c r="B225" i="1"/>
  <c r="B224" i="1"/>
  <c r="B201" i="1"/>
  <c r="B158" i="1"/>
  <c r="B135" i="1"/>
  <c r="B112" i="1"/>
  <c r="B111" i="1"/>
  <c r="F36" i="2"/>
  <c r="B88" i="1"/>
  <c r="B106" i="1"/>
  <c r="B83" i="1"/>
  <c r="B82" i="1"/>
  <c r="B78" i="1"/>
  <c r="B73" i="1"/>
  <c r="B68" i="1"/>
  <c r="B62" i="1"/>
  <c r="B56" i="1"/>
  <c r="B55" i="1"/>
  <c r="B54" i="1"/>
  <c r="L51" i="1"/>
  <c r="L52" i="1" s="1"/>
  <c r="F19" i="2" s="1"/>
  <c r="H19" i="2" s="1"/>
  <c r="L47" i="1"/>
  <c r="L48" i="1" s="1"/>
  <c r="F18" i="2" s="1"/>
  <c r="H18" i="2" s="1"/>
  <c r="L43" i="1"/>
  <c r="L44" i="1" s="1"/>
  <c r="F17" i="2" s="1"/>
  <c r="H17" i="2" s="1"/>
  <c r="L39" i="1"/>
  <c r="L40" i="1" s="1"/>
  <c r="F16" i="2" s="1"/>
  <c r="H16" i="2" s="1"/>
  <c r="B50" i="1"/>
  <c r="B46" i="1"/>
  <c r="B42" i="1"/>
  <c r="B38" i="1"/>
  <c r="L35" i="1"/>
  <c r="L34" i="1"/>
  <c r="B33" i="1"/>
  <c r="L30" i="1"/>
  <c r="L29" i="1"/>
  <c r="B28" i="1"/>
  <c r="H25" i="1"/>
  <c r="L25" i="1" s="1"/>
  <c r="L26" i="1" s="1"/>
  <c r="F13" i="2" s="1"/>
  <c r="H13" i="2" s="1"/>
  <c r="B24" i="1"/>
  <c r="L21" i="1"/>
  <c r="B20" i="1"/>
  <c r="L18" i="1"/>
  <c r="F11" i="2" s="1"/>
  <c r="H11" i="2" s="1"/>
  <c r="B16" i="1"/>
  <c r="L13" i="1"/>
  <c r="L14" i="1" s="1"/>
  <c r="F10" i="2" s="1"/>
  <c r="H10" i="2" s="1"/>
  <c r="B12" i="1"/>
  <c r="L384" i="1" l="1"/>
  <c r="F56" i="2" s="1"/>
  <c r="H56" i="2" s="1"/>
  <c r="L36" i="1"/>
  <c r="F15" i="2" s="1"/>
  <c r="H15" i="2" s="1"/>
  <c r="L31" i="1"/>
  <c r="F14" i="2" s="1"/>
  <c r="H14" i="2" s="1"/>
  <c r="L76" i="1"/>
  <c r="L22" i="1"/>
  <c r="F12" i="2" s="1"/>
  <c r="H12" i="2" s="1"/>
  <c r="B7" i="1"/>
  <c r="H107" i="2"/>
  <c r="H106" i="2"/>
  <c r="H105" i="2"/>
  <c r="H99" i="2"/>
  <c r="H98" i="2"/>
  <c r="H97" i="2"/>
  <c r="H96" i="2"/>
  <c r="H92" i="2"/>
  <c r="H91" i="2"/>
  <c r="H90" i="2"/>
  <c r="H89" i="2"/>
  <c r="H88" i="2"/>
  <c r="H84" i="2"/>
  <c r="H83" i="2"/>
  <c r="H79" i="2"/>
  <c r="H78" i="2"/>
  <c r="H77" i="2"/>
  <c r="H76" i="2"/>
  <c r="H74" i="2"/>
  <c r="H73" i="2"/>
  <c r="H72" i="2"/>
  <c r="H71" i="2"/>
  <c r="H70" i="2"/>
  <c r="H69" i="2"/>
  <c r="H64" i="2"/>
  <c r="H63" i="2"/>
  <c r="H62" i="2"/>
  <c r="H61" i="2"/>
  <c r="H59" i="2"/>
  <c r="H58" i="2"/>
  <c r="H57" i="2"/>
  <c r="H55" i="2"/>
  <c r="H51" i="2"/>
  <c r="H49" i="2"/>
  <c r="H48" i="2"/>
  <c r="H47" i="2"/>
  <c r="H45" i="2"/>
  <c r="H44" i="2"/>
  <c r="H43" i="2"/>
  <c r="H41" i="2"/>
  <c r="H40" i="2"/>
  <c r="H39" i="2"/>
  <c r="H37" i="2"/>
  <c r="H36" i="2"/>
  <c r="H35" i="2"/>
  <c r="H34" i="2"/>
  <c r="H32" i="2"/>
  <c r="H31" i="2"/>
  <c r="H30" i="2"/>
  <c r="H26" i="2"/>
  <c r="H25" i="2"/>
  <c r="H24" i="2"/>
  <c r="H80" i="2" l="1"/>
  <c r="H110" i="2" s="1"/>
  <c r="F27" i="2"/>
  <c r="H27" i="2" s="1"/>
  <c r="H79" i="1"/>
  <c r="L79" i="1" s="1"/>
  <c r="L80" i="1" s="1"/>
  <c r="F28" i="2" s="1"/>
  <c r="H28" i="2" s="1"/>
  <c r="D11" i="4" l="1"/>
  <c r="D11" i="3"/>
  <c r="D13" i="4"/>
  <c r="D13" i="3"/>
  <c r="D19" i="3"/>
  <c r="D19" i="4"/>
  <c r="D17" i="3"/>
  <c r="D17" i="4"/>
  <c r="D15" i="4"/>
  <c r="D15" i="3"/>
  <c r="D21" i="3"/>
  <c r="D21" i="4"/>
  <c r="D7" i="4"/>
  <c r="D7" i="3"/>
  <c r="F22" i="4" l="1"/>
  <c r="G22" i="4"/>
  <c r="E22" i="4"/>
  <c r="D9" i="3"/>
  <c r="D9" i="4"/>
  <c r="D23" i="4" s="1"/>
  <c r="F16" i="4"/>
  <c r="G16" i="4"/>
  <c r="E16" i="4"/>
  <c r="F14" i="4"/>
  <c r="G14" i="4"/>
  <c r="E14" i="4"/>
  <c r="F18" i="4"/>
  <c r="G18" i="4"/>
  <c r="E18" i="4"/>
  <c r="G20" i="4"/>
  <c r="E20" i="4"/>
  <c r="F20" i="4"/>
  <c r="F12" i="4"/>
  <c r="G12" i="4"/>
  <c r="E12" i="4"/>
  <c r="E8" i="4"/>
  <c r="H12" i="4" l="1"/>
  <c r="I12" i="4" s="1"/>
  <c r="H22" i="4"/>
  <c r="I22" i="4" s="1"/>
  <c r="H20" i="4"/>
  <c r="I20" i="4" s="1"/>
  <c r="H18" i="4"/>
  <c r="I18" i="4" s="1"/>
  <c r="H16" i="4"/>
  <c r="I16" i="4" s="1"/>
  <c r="H14" i="4"/>
  <c r="I14" i="4" s="1"/>
  <c r="C23" i="3"/>
  <c r="F10" i="4"/>
  <c r="F25" i="4" s="1"/>
  <c r="F23" i="4" s="1"/>
  <c r="G10" i="4"/>
  <c r="G25" i="4" s="1"/>
  <c r="G23" i="4" s="1"/>
  <c r="E10" i="4"/>
  <c r="E25" i="4" s="1"/>
  <c r="H8" i="4"/>
  <c r="I8" i="4" s="1"/>
  <c r="C15" i="3" l="1"/>
  <c r="C11" i="3"/>
  <c r="C25" i="3"/>
  <c r="C13" i="3"/>
  <c r="C7" i="3"/>
  <c r="C17" i="3"/>
  <c r="C19" i="3"/>
  <c r="C21" i="3"/>
  <c r="H10" i="4"/>
  <c r="I10" i="4" s="1"/>
  <c r="C9" i="3"/>
  <c r="E23" i="4"/>
  <c r="E24" i="4" s="1"/>
  <c r="F24" i="4" s="1"/>
  <c r="G24" i="4" s="1"/>
  <c r="E26" i="4"/>
  <c r="F26" i="4" s="1"/>
  <c r="G2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caixa</author>
    <author>Cremilson Inácio de Souza</author>
    <author>c094707</author>
  </authors>
  <commentList>
    <comment ref="B3" authorId="0" shapeId="0" xr:uid="{DFD3CF4F-FAAB-4C61-8C29-BEFE141E2D81}">
      <text>
        <r>
          <rPr>
            <sz val="9"/>
            <color indexed="81"/>
            <rFont val="Segoe UI"/>
            <family val="2"/>
          </rPr>
          <t>Nome do Orgão  ou Empresa Executante</t>
        </r>
      </text>
    </comment>
    <comment ref="B8" authorId="1" shapeId="0" xr:uid="{BB7DBCBE-80F8-4D4F-BCC5-C8DA5C037BC0}">
      <text>
        <r>
          <rPr>
            <b/>
            <sz val="9"/>
            <color indexed="81"/>
            <rFont val="Tahoma"/>
            <family val="2"/>
          </rPr>
          <t>Escolha</t>
        </r>
        <r>
          <rPr>
            <sz val="9"/>
            <color indexed="81"/>
            <rFont val="Tahoma"/>
            <family val="2"/>
          </rPr>
          <t xml:space="preserve">
</t>
        </r>
      </text>
    </comment>
    <comment ref="B12" authorId="1" shapeId="0" xr:uid="{E8DDCD7E-4535-456F-807B-4537825C546A}">
      <text>
        <r>
          <rPr>
            <sz val="9"/>
            <color indexed="81"/>
            <rFont val="Tahoma"/>
            <family val="2"/>
          </rPr>
          <t xml:space="preserve">3.3.10.7.6.1 “Construção de Edifícios” enquadram-se:
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entre outros), penitenciárias e presídios, a construção de edifícios industriais (fábricas, oficinas, galpões industriais, entre outros), conforme classificação 4120-4 do CNAE 2.0;
 pórticos, mirantes e outros edifícios de finalidade turística.
3.3.10.7.6.2 “Construção de Rodovias e Ferrovias” enquadram-se:
 a construção e recuperação de autoestradas, rodovias e outras vias não urbanas para passagem de veículos, vias férreas de superfície ou subterrâneas (inclusive para metropolitanos), pistas de aeroportos;
 a pavimentação de autoestradas, rodovias e outras vias não 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 a construção, pavimentação e sinalização de vias urbanas, ruas e locais para estacionamento de veículos, a construção de praças, pista de atletismo, campos de futebol e calçadas para pedestres, elevados, passarelas e ciclovias, metrô e VLT.
3.3.10.7.6.3 “Construção de Redes de Abastecimento de Água, Coleta de Esgoto e Construções Correlatas” enquadram-se:
 a construção de sistemas para o abastecimento de água tratada -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macrodrenagem);
 as obras de irrigação (canais), a manutenção de redes de abastecimento de água tratada, a manutenção de redes de coleta e de sistemas de tratamento de esgoto, conforme classificação 4222-7 do CNAE 2.0;
 a construção de estações de tratamento de água (ETA).
3.3.10.7.6.4 “Construção e Manutenção de Estações e Redes de Distribuição de Energia Elétrica” enquadram-se:
 a construção de usinas, estações e subestações hidrelétricas, eólicas, nucleares, termoelétricas, a construção de redes de transmissão e distribuição de energia elétrica, inclusive o serviço de eletrificação rural;
 a construção de redes de eletrificação para ferrovias e metropolitano, conforme classificação 4221-9/02 do CNAE 2.0;
 a manutenção de redes de distribuição de energia elétrica, quando executada por empresa não produtora ou distribuidora de energia elétrica, conforme classificação 4221-9/03 do CNAE 2.0;
 obras de iluminação pública e a construção de barragens e represas para geração de energia elétrica.
3.3.10.7.6.5 Para o tipo de obra “Portuárias, Marítimas e Fluviais” enquadram-se:
 obras marítimas e fluviais, tais como, construção de instalações portuárias, construção de portos e marinas, construção de eclusas e canais de navegação (vias navegáveis), enrrocamentos, obras de dragagem, aterro hidráulico, barragens, represas e diques, exceto para energia elétrica, a construção de emissários submarinos, a instalação de cabos submarinos, conforme classificação 4291-0 do CNAE 2.0;
 a construção de píeres e outras obras com influência direta de cursos d’água.
</t>
        </r>
      </text>
    </comment>
    <comment ref="C16" authorId="2" shapeId="0" xr:uid="{EB44F669-625A-4EFF-BF40-7B35007DB28F}">
      <text>
        <r>
          <rPr>
            <sz val="10"/>
            <color indexed="81"/>
            <rFont val="Tahoma"/>
            <family val="2"/>
          </rPr>
          <t>ADMINISTRAÇÃO CENTRAL
Diretoria e secretarias
Suprimentos  e Compras
Financeiro, incluindo Tesouraria e Contabilidade
Jurídico
Recursos Humanos
Planejamento e Orçamentos
Comercial
Apoio e Deposito
Despesas de instalação do Escritório Central
Seguros do Escritório Central e Deposito
Taxas para funcionamento
Material de consumo (limpeza, higiene, escritório).
Consumo de energia, água, telefone etc.
Estes custos incidem na obra, pois a operação de uma empresa que tem em sua sede, uma estrutura montada para atender TODAS as obras em andamento é um custo que deverá ser reembolsado pela obra.
A valoração destes custos deveria ser enfocada em função do faturamento anual da empresa, porém nem sempre estes dados estão disponíveis no momento de estabelecer-se o DI.
 Desta forma, usualmente rateia-se os custos acima do escritório central para a obra.  
Varia de empresa para empresa. Quando não é levantado são sugeridos valores entre 2% e 8% sobre o custo direto de produção (CD).</t>
        </r>
      </text>
    </comment>
    <comment ref="C17" authorId="2" shapeId="0" xr:uid="{3C579767-75BE-471F-9BE4-71B1DD14DC91}">
      <text>
        <r>
          <rPr>
            <sz val="10"/>
            <color indexed="81"/>
            <rFont val="Tahoma"/>
            <family val="2"/>
          </rPr>
          <t xml:space="preserve">Compreende os imprevistos que são ocasionados na obra, feriados extraordinários, substituição de materiais por outros de melhor qualidade, etc.
TIPOS DE IMPREVISTOS
FORÇA MAIOR: 
NATURAIS:ENCHENTES, RAIOS, VENDAVAIS
ECONÔMICOS:CRIAÇAO DE NOVOS IMPOSTOS, JORNADAS DE TRABALHO DIFERENTES
SÓCIO-POLÍTICOS: GREVES, GUERRAS, SAQUES
DE PREVISIBILIDADE RELATIVA:
NATURAIS:CHEIAS, CHUVAS
ECONÔMICOS:ATRASO DE PAGAMENTO, AUMENTO DA INFLAÇÃO, ATRASOS DE TERCEIROS
HUMANOS: VARIAÇÕES DE PRODUTIVIDADE, INTERRUPÇÕES DE TRABALHO, ACORDOS JUDICIAIS DE QUESTÕES TRABALHISTAS
ALEATÓRIOS:
DE DIFÍCIL PREVISÃO, TAIS COMO ACIDENTES, SUBSTITUIÇÕES DE MATERIAIS, FURTOS, PERDA DE MATERIAL POR VANDALISMO, ETC.
</t>
        </r>
        <r>
          <rPr>
            <sz val="10"/>
            <color indexed="81"/>
            <rFont val="Tahoma"/>
            <family val="2"/>
          </rPr>
          <t xml:space="preserve">
</t>
        </r>
      </text>
    </comment>
    <comment ref="C19" authorId="2" shapeId="0" xr:uid="{AE44F597-C70C-4E88-B555-C8BC895BF906}">
      <text>
        <r>
          <rPr>
            <sz val="10"/>
            <color indexed="81"/>
            <rFont val="Tahoma"/>
            <family val="2"/>
          </rPr>
          <t xml:space="preserve">Remuneração de recursos investidos pelo contratado na execução da obra em benefício de contratante.
Se o contratante não dá um adiantamento para o início da obra, o contratado deverá investir um capital sobre o qual terá uma despesa financeira correspondente ao prazo entre o desembolso e o recebimento (consideramos 30 dias).
 É sugerido adotar o valor dos rendimentos do CDB. 
</t>
        </r>
      </text>
    </comment>
    <comment ref="C21" authorId="2" shapeId="0" xr:uid="{8A1E68C1-2960-4584-9B04-300ED48CE16F}">
      <text>
        <r>
          <rPr>
            <sz val="10"/>
            <color indexed="81"/>
            <rFont val="Tahoma"/>
            <family val="2"/>
          </rPr>
          <t>O lucro de uma determinada obra é o resultado financeiro positivo resultante da diferença entre todas as receitas e das despesas da obra.
Este valor, após o recolhimento do Imposto de renda é o lucro da Empresa, ou sua remuneração.</t>
        </r>
        <r>
          <rPr>
            <b/>
            <sz val="10"/>
            <color indexed="81"/>
            <rFont val="Tahoma"/>
            <family val="2"/>
          </rPr>
          <t xml:space="preserve">
</t>
        </r>
      </text>
    </comment>
    <comment ref="C25" authorId="2" shapeId="0" xr:uid="{D466A1F6-CD0D-4498-A33C-E10E4745614F}">
      <text>
        <r>
          <rPr>
            <sz val="10"/>
            <color indexed="81"/>
            <rFont val="Tahoma"/>
            <family val="2"/>
          </rPr>
          <t>Referem-se aos tributos ou impostos cobrados sobre a receita total da obra e compreendem os impostos citados nas colunas abaixo.
Segundo recomendação do TCU (Tribunal de Contas da União) o IRPJ (Imposto de Renda Pessoa Jurídica) e CSLL (Contribuição Social Sobre o Lucro Líquido) não devem ser incluídos nos orçamentos de obras, já que estão relacionados com o desempenho financeiro da empresa e não com a execução do serviço de construção civil que está sendo orçado.</t>
        </r>
      </text>
    </comment>
    <comment ref="C30" authorId="2" shapeId="0" xr:uid="{450D69B4-EA59-44D6-9D31-270242AB3ADD}">
      <text>
        <r>
          <rPr>
            <sz val="10"/>
            <color indexed="81"/>
            <rFont val="Tahoma"/>
            <family val="2"/>
          </rPr>
          <t>COFINS (Contribuição para Financiamento da Seguridade Socia Financia a seguridade social pelo sistema S (SESC, SESI, SENAC, SENAI, SEST, SENAT, SENAR E SEBRAE).</t>
        </r>
      </text>
    </comment>
    <comment ref="C31" authorId="2" shapeId="0" xr:uid="{E152B7BA-FC1C-4846-BAB6-BE328122660D}">
      <text>
        <r>
          <rPr>
            <sz val="10"/>
            <color indexed="81"/>
            <rFont val="Tahoma"/>
            <family val="2"/>
          </rPr>
          <t xml:space="preserve">PIS (Programa de Integração Social) - 0,65% : Financia o pagamento do seguro desemprego e do abono dos trabalhadores que ganham até dois salários mínimos, bem como o financiamento de  programas de desenvolvimento econômico.
</t>
        </r>
      </text>
    </comment>
  </commentList>
</comments>
</file>

<file path=xl/sharedStrings.xml><?xml version="1.0" encoding="utf-8"?>
<sst xmlns="http://schemas.openxmlformats.org/spreadsheetml/2006/main" count="2081" uniqueCount="776">
  <si>
    <t>PLANILHA ORÇAMENTÁRIA</t>
  </si>
  <si>
    <t>Eng.ª Civil CATARINA DEMONER DINIZ - CREA: ES-0048118/D</t>
  </si>
  <si>
    <t>Encargos sociais:</t>
  </si>
  <si>
    <t>ITEM</t>
  </si>
  <si>
    <t>CÓDIGO</t>
  </si>
  <si>
    <t>ORGÃO</t>
  </si>
  <si>
    <t>DESCRIÇÃO SERVIÇO</t>
  </si>
  <si>
    <t>UNIDADE</t>
  </si>
  <si>
    <t>QUANTIDADE</t>
  </si>
  <si>
    <t>CUSTO (R$)</t>
  </si>
  <si>
    <t>UNITÁRIO</t>
  </si>
  <si>
    <t>TOTAL</t>
  </si>
  <si>
    <t>1.0</t>
  </si>
  <si>
    <t>SERVIÇOS PRELIMINARES</t>
  </si>
  <si>
    <t>1.1</t>
  </si>
  <si>
    <t>020305</t>
  </si>
  <si>
    <t>IOPES</t>
  </si>
  <si>
    <t>Placa de obra nas dimensões de 2.0 x 4.0 m, padrão PMI</t>
  </si>
  <si>
    <t>m²</t>
  </si>
  <si>
    <t>1.2</t>
  </si>
  <si>
    <t>020350</t>
  </si>
  <si>
    <t>Tapume Telha Metálica Ondulada 0,50mm Branca h=2,20m, incl. montagem estr. mad. 8"x8", c/adesivo "IOPES" 60x60cm a cada 10m, incl. faixas pint. esmalte sint. cores azul c/ h=30cm e rosa c/ h=10cm (Reaproveitamento 2x)</t>
  </si>
  <si>
    <t>m</t>
  </si>
  <si>
    <t>1.3</t>
  </si>
  <si>
    <t>020356</t>
  </si>
  <si>
    <t>Aluguel mensal container para almoxarifado, incl. porta, 2 janelas, 1 pt iluminação, Isolamento térmico (teto), piso em comp. Naval pintado, cert. NR18, incl. laudo descontaminação.</t>
  </si>
  <si>
    <t>mês</t>
  </si>
  <si>
    <t>1.4</t>
  </si>
  <si>
    <t>SINAPI</t>
  </si>
  <si>
    <t>1.5</t>
  </si>
  <si>
    <t>98532</t>
  </si>
  <si>
    <t>Poda em altura de árvore com diâmetro de tronco menor que 0,20 m</t>
  </si>
  <si>
    <t>und</t>
  </si>
  <si>
    <t>1.6</t>
  </si>
  <si>
    <t>030103</t>
  </si>
  <si>
    <t>Escavação mecânica em material de 1a. Categoria</t>
  </si>
  <si>
    <t>m³</t>
  </si>
  <si>
    <t>1.7</t>
  </si>
  <si>
    <t>1.8</t>
  </si>
  <si>
    <t>010216</t>
  </si>
  <si>
    <t>Retirada de meio-fio de concreto</t>
  </si>
  <si>
    <t>1.9</t>
  </si>
  <si>
    <t>1.10</t>
  </si>
  <si>
    <t>Transplante de árvores</t>
  </si>
  <si>
    <t>1.11</t>
  </si>
  <si>
    <t>010403</t>
  </si>
  <si>
    <t>Corte e destocamento de árvores com diâmetro de até 15 cm</t>
  </si>
  <si>
    <t>010201</t>
  </si>
  <si>
    <t>Demolição de piso cimentado, inclusive lastro de concreto</t>
  </si>
  <si>
    <t>SUB-TOTAL - 01</t>
  </si>
  <si>
    <t>2.0</t>
  </si>
  <si>
    <t>ESTRUTURAL</t>
  </si>
  <si>
    <t>2.1</t>
  </si>
  <si>
    <t>Blocos de Fundação</t>
  </si>
  <si>
    <t>2.1.1</t>
  </si>
  <si>
    <t>030101</t>
  </si>
  <si>
    <t>Escavação manual em material de 1a. categoria, até 1.50 m de profundidade</t>
  </si>
  <si>
    <t>2.1.2</t>
  </si>
  <si>
    <t xml:space="preserve">Lastro de concreto magro, aplicado em bloco de coroamento ou sapatas, espessura de 5 cm. </t>
  </si>
  <si>
    <t>2.1.3</t>
  </si>
  <si>
    <t>040243</t>
  </si>
  <si>
    <t>Fornecimento, dobragem e colocação em fôrma, de armadura CA-50 A média, diâmetro de 6.3 a 10.0 mm</t>
  </si>
  <si>
    <t>kg</t>
  </si>
  <si>
    <t>2.1.4</t>
  </si>
  <si>
    <t>040324</t>
  </si>
  <si>
    <t>Fornecimento, preparo e aplicação de concreto Fck=25 MPa (brita 1 e 2) - (5% de perdas já incluído no custo)</t>
  </si>
  <si>
    <t>2.1.5</t>
  </si>
  <si>
    <t>Reaterro manual apiloado com soquete.</t>
  </si>
  <si>
    <t>2.2</t>
  </si>
  <si>
    <t>2.2.1</t>
  </si>
  <si>
    <t>040238</t>
  </si>
  <si>
    <t>Fôrma de chapa compensada resinada 12mm, levando-se em conta a utilização 3 vezes (incluido o material, corte, montagem, escoramento e desfôrma)</t>
  </si>
  <si>
    <t>2.2.2</t>
  </si>
  <si>
    <t>2.2.3</t>
  </si>
  <si>
    <t>2.3</t>
  </si>
  <si>
    <t>Vigas Baldrames</t>
  </si>
  <si>
    <t>2.3.1</t>
  </si>
  <si>
    <t>2.3.2</t>
  </si>
  <si>
    <t>2.3.3</t>
  </si>
  <si>
    <t>2.3.4</t>
  </si>
  <si>
    <t>2.4</t>
  </si>
  <si>
    <t>Pilares</t>
  </si>
  <si>
    <t>2.4.1</t>
  </si>
  <si>
    <t>2.4.2</t>
  </si>
  <si>
    <t>2.4.3</t>
  </si>
  <si>
    <t>2.5</t>
  </si>
  <si>
    <t>Vigas de Travamento</t>
  </si>
  <si>
    <t>2.5.1</t>
  </si>
  <si>
    <t>2.5.2</t>
  </si>
  <si>
    <t>2.5.3</t>
  </si>
  <si>
    <t>2.6</t>
  </si>
  <si>
    <t>Muros</t>
  </si>
  <si>
    <t>2.6.1</t>
  </si>
  <si>
    <t>050502</t>
  </si>
  <si>
    <t>Alvenaria de blocos de concreto estrut. (19x19x39cm) cheios, c/ resist. mín. compr. 15MPa, assentados c/ arg. cimento e areia no traço 1:4, esp. juntas de 10mm e esp. da parede s/ revest. 19cm</t>
  </si>
  <si>
    <t>2.6.2</t>
  </si>
  <si>
    <t>2.6.3</t>
  </si>
  <si>
    <t>COMPOSIÇÃO 17</t>
  </si>
  <si>
    <t xml:space="preserve">Chapim (pingadeira) de concreto aparente com acabamento desempenado, forma de compensado plastificado (madeirit) com largura de 25 cm e espessura de 5 cm, fundido no local. </t>
  </si>
  <si>
    <t>2.7</t>
  </si>
  <si>
    <t>Escada</t>
  </si>
  <si>
    <t>2.7.1</t>
  </si>
  <si>
    <t>050501</t>
  </si>
  <si>
    <t>Alvenaria de blocos de concreto estrut. (14x19x39cm) cheios, c/ resist. mín. compr. 15MPa, assentados c/ arg. de cimento e areia no traço 1:4, esp. juntas 10mm e esp. da parede s/ revest. 14cm</t>
  </si>
  <si>
    <t>SUB-TOTAL - 02</t>
  </si>
  <si>
    <t>3.0</t>
  </si>
  <si>
    <t>PLAYGROUND</t>
  </si>
  <si>
    <t>3.1</t>
  </si>
  <si>
    <t>040231</t>
  </si>
  <si>
    <t>Fornecimento, preparo e aplicação de concreto magro com consumo mínimo de cimento de 250 kg/m3 (brita 1 e 2) - (5% de perdas já incluído no custo)</t>
  </si>
  <si>
    <t>3.2</t>
  </si>
  <si>
    <t>Meio-fio de concreto pré-moldado com dimensões de 15x12x30x100 cm , rejuntados com argamassa de cimento e areia no traço 1:3</t>
  </si>
  <si>
    <t>3.3</t>
  </si>
  <si>
    <t>3.4</t>
  </si>
  <si>
    <t>COMPOSIÇÃO 01</t>
  </si>
  <si>
    <t>Fornecimento e instalação de grama sintética para playgrounds, esp. 12 mm, inclusive aplicação com cola de contato</t>
  </si>
  <si>
    <t>3.5</t>
  </si>
  <si>
    <t>COMPOSIÇÃO 02</t>
  </si>
  <si>
    <t>Fornecimento e instalação de piso emborrachado para playgrounds, esp. 40 mm, inclusive aplicação com cola poliuretano monocomponente</t>
  </si>
  <si>
    <t>3.6</t>
  </si>
  <si>
    <t>COMPOSIÇÃO 03</t>
  </si>
  <si>
    <t>Fornecimento e instalação de brinquedos de ferro, confeccionados em tubo a vapor e pintura esmalte sintético (escorregador de 2 m de comprimento, balanço de 2 lugares, gira-gira de 8 lugares e gangorra de 3 pranchas) e um cestão de madeira tratada em autoclave, conforme projeto.</t>
  </si>
  <si>
    <t>Chapisco com argamassa de cimento e areia média ou grossa lavada no traço 1:3, espessura 5 mm</t>
  </si>
  <si>
    <t>Reboco tipo paulista de argamassa de cimento, cal hidratada CH1 e areia lavada traço 1:0.5:6, espessura 25 mm</t>
  </si>
  <si>
    <t>3.7</t>
  </si>
  <si>
    <t>160708</t>
  </si>
  <si>
    <t>Pintura com tinta acrílica Suvinil, Coral ou Metalatex, inclusive selador acrílico, em paredes externas a três demãos</t>
  </si>
  <si>
    <t>3.8</t>
  </si>
  <si>
    <t>Alambrado c/ tela losangular de arame fio 12 malha 2" revest. em PVC com tubo de ferro galvanizado vertical de 2 1/2" e horizontal de 1" incl. Portão, pintados com esmalte sobre fundo anticorrosivo</t>
  </si>
  <si>
    <t>SUB-TOTAL - 03</t>
  </si>
  <si>
    <t>4.0</t>
  </si>
  <si>
    <t>CAMPO DE AREIA</t>
  </si>
  <si>
    <t>4.1</t>
  </si>
  <si>
    <t xml:space="preserve">Drenagem </t>
  </si>
  <si>
    <t>4.1.1</t>
  </si>
  <si>
    <t>COMPOSIÇÃO 11</t>
  </si>
  <si>
    <t>Tubo dreno, corrugado, espiralado, flexível, perfurado, em polietileno de alta densidade (PEAD), DN 100 mm, (4"), para drenagem - em rolo (Norma DNIT 093/2006 - E.M.) - fornecimento e instalação</t>
  </si>
  <si>
    <t>4.1.2</t>
  </si>
  <si>
    <t>COMPOSIÇÃO 12</t>
  </si>
  <si>
    <t>4.1.3</t>
  </si>
  <si>
    <t>Fornecimento e espalhamento de brita 1 ou 2</t>
  </si>
  <si>
    <t>4.1.4</t>
  </si>
  <si>
    <t>4.1.5</t>
  </si>
  <si>
    <t>4.1.6</t>
  </si>
  <si>
    <t>Caixa de inspeção em alv. bloco concreto 9x19x39cm, dim. 60x60cm e Hmáx=1m, c/ tampa de ferro fundido 40x40cm, lastro de concreto esp.10cm, revest. interno c/ chapisco e reboco impermeabiliz, incl. escavação, reaterro e enchimento</t>
  </si>
  <si>
    <t>4.2</t>
  </si>
  <si>
    <t>Serviços Diversos</t>
  </si>
  <si>
    <t>4.2.1</t>
  </si>
  <si>
    <t>Trave para futebol de salão de tubo de ferro galvanizado 3", com recuo, removível, dimensões oficiais 3x2m</t>
  </si>
  <si>
    <t>4.2.2</t>
  </si>
  <si>
    <t>4.2.3</t>
  </si>
  <si>
    <t>COMPOSIÇÃO 06</t>
  </si>
  <si>
    <t>Fornecimento e assentamento de areia fina</t>
  </si>
  <si>
    <t>4.2.4</t>
  </si>
  <si>
    <t>COMPOSIÇÃO 09</t>
  </si>
  <si>
    <t>Fornecimento e assentamento de areia grossa</t>
  </si>
  <si>
    <t>4.2.5</t>
  </si>
  <si>
    <t>SUB-TOTAL - 04</t>
  </si>
  <si>
    <t>5.0</t>
  </si>
  <si>
    <t xml:space="preserve">INSTALAÇÕES HIDRÁULICAS </t>
  </si>
  <si>
    <t>5.1</t>
  </si>
  <si>
    <t>5.2</t>
  </si>
  <si>
    <t>Ponto com registro de pressão (chuveiro, caixa de descarga, etc...)</t>
  </si>
  <si>
    <t>SUB-TOTAL - 05</t>
  </si>
  <si>
    <t>6.0</t>
  </si>
  <si>
    <t>INSTALAÇÕES ELÉTRICAS</t>
  </si>
  <si>
    <t>6.1</t>
  </si>
  <si>
    <t>COMPOSIÇÃO 10</t>
  </si>
  <si>
    <t>Fornecimento e instalação de poste cônico contínuo em aço galvanizado, reto, engastado, altura de 7 m, e diâmetro inferior de 125 mm.</t>
  </si>
  <si>
    <t>6.2</t>
  </si>
  <si>
    <t>COMPOSIÇÃO 13</t>
  </si>
  <si>
    <t xml:space="preserve">Fornecimento de luminária pública de LED, 150 W, temperatura de cor em 5000 K, 18000 lúmens, IP66 </t>
  </si>
  <si>
    <t>6.3</t>
  </si>
  <si>
    <t>Fornecimento de refletor para campo de areia de LED, com 200 W, e montagem em SMD, IP67, temperatura 6500K, 65L/W, luz branca</t>
  </si>
  <si>
    <t>6.4</t>
  </si>
  <si>
    <t>COMPOSIÇÃO 16</t>
  </si>
  <si>
    <t xml:space="preserve">Fornecimento de suporte para fixação de iluminação pública, 2 pétalas, diâmetro externo de 48,3 mm a 60,3 mm. </t>
  </si>
  <si>
    <t>6.5</t>
  </si>
  <si>
    <t>COMPOSIÇÃO 15</t>
  </si>
  <si>
    <t xml:space="preserve">Fornecimento de suporte para fixação de iluminação pública, 4 pétalas, diâmetro externo de 48,3 mm a 60,3 mm. </t>
  </si>
  <si>
    <t>SUB-TOTAL - 06</t>
  </si>
  <si>
    <t>7.0</t>
  </si>
  <si>
    <t>CALÇADA</t>
  </si>
  <si>
    <t>7.1</t>
  </si>
  <si>
    <t>Blocos pré-moldados de concreto tipo pavi-s ou equivalente, espessura de 6 cm e resistência a compressão mínima de 35MPa, assentados sobre colchão de pó de pedra na espessura de 10 cm</t>
  </si>
  <si>
    <t>7.2</t>
  </si>
  <si>
    <t>7.3</t>
  </si>
  <si>
    <t>Fornecimento e assentamento de ladrilho hidráulico pastilhado, vermelho, dim. 20x20 cm, esp. 1.5cm, assentado com pasta de cimento colante, exclusive regularização e lastro</t>
  </si>
  <si>
    <t>7.4</t>
  </si>
  <si>
    <t>SUB-TOTAL - 07</t>
  </si>
  <si>
    <t>8.0</t>
  </si>
  <si>
    <t xml:space="preserve">SERVIÇOS COMPLEMENTARES </t>
  </si>
  <si>
    <t>8.1</t>
  </si>
  <si>
    <t>8.2</t>
  </si>
  <si>
    <t>COMPOSIÇÃO 04</t>
  </si>
  <si>
    <t>Fornecimento e instalação de lixeira dupla de ferro, 60 L, fabricada em tubo de aço, cestos em chapas de aço e pintura eletrostática</t>
  </si>
  <si>
    <t>8.3</t>
  </si>
  <si>
    <t>99855</t>
  </si>
  <si>
    <t>Corrimão simples, diâmetro externo = 1 1/2", em aço galvanizado</t>
  </si>
  <si>
    <t>8.4</t>
  </si>
  <si>
    <t>210304</t>
  </si>
  <si>
    <t>Banco de concreto armado aparente Fck=15 MPa, com apoios de concreto, largura de 45 cm, espessura de 7 cm e altura de 45 cm</t>
  </si>
  <si>
    <t>200402</t>
  </si>
  <si>
    <t>Limpeza geral de obras</t>
  </si>
  <si>
    <t>SUB-TOTAL - 08</t>
  </si>
  <si>
    <t>MEMORIAL DE CÁLCULO</t>
  </si>
  <si>
    <t>DESCRIÇÃO DO SERVIÇO</t>
  </si>
  <si>
    <t>LARGURA (m)</t>
  </si>
  <si>
    <t>COMPRIMENTO (m)</t>
  </si>
  <si>
    <t>ALTURA (m)</t>
  </si>
  <si>
    <t>ÁREA (m²)</t>
  </si>
  <si>
    <t>VOLUME (m³)</t>
  </si>
  <si>
    <t>PESO (kg)</t>
  </si>
  <si>
    <t>Modelo no Memorial Descritivo</t>
  </si>
  <si>
    <t>Canteiro de Obras</t>
  </si>
  <si>
    <t>Área total do projeto (campo de areia) - Projeto Arq. Prancha 5/7</t>
  </si>
  <si>
    <t xml:space="preserve">Regularização e compactação de subleito de solo predominantemente argiloso. </t>
  </si>
  <si>
    <t>Projeto Arq. Prancha 4/7</t>
  </si>
  <si>
    <t>Projeto Arq. Prancha 5/7</t>
  </si>
  <si>
    <t>Placa na calçada - Projeto Arq. Prancha 4/7</t>
  </si>
  <si>
    <t>Árvores que serão retiradas e replantadas em outro lugar - Projeto Arq. Prancha 1/7 e 4/7</t>
  </si>
  <si>
    <t>Árvores retiradas - Projeto Arq. Prancha 4/7</t>
  </si>
  <si>
    <t>Calçada existente - Projeto Arq. Prancha 5/7</t>
  </si>
  <si>
    <t>3.9</t>
  </si>
  <si>
    <t>3.10</t>
  </si>
  <si>
    <t>QUANTIDADE (und)</t>
  </si>
  <si>
    <t>Canteiros Detalhe 01 - Projeto Arq. Prancha 1/7 e 3/7</t>
  </si>
  <si>
    <t>Canteiros Detalhe 03 - Projeto Arq. Prancha 1/7 e 3/7</t>
  </si>
  <si>
    <t>Brinquedos - Projeto Arq. Prancha 3/7</t>
  </si>
  <si>
    <t>Brinquedos - Projeto Arq. Prancha 1/7</t>
  </si>
  <si>
    <t>Muro - Projeto Arq. Prancha 2/7</t>
  </si>
  <si>
    <t>Alambrado 01 - Projeto Arq. Prancha 3/7</t>
  </si>
  <si>
    <t>Alambrado 02 - Projeto Arq. Prancha 3/7</t>
  </si>
  <si>
    <t>RESUMO DE ORÇAMENTO</t>
  </si>
  <si>
    <t>DESCRIÇÃO</t>
  </si>
  <si>
    <t>%</t>
  </si>
  <si>
    <t>VALORES (R$)</t>
  </si>
  <si>
    <t>RESUMO</t>
  </si>
  <si>
    <t>CUSTO TOTAL (R$)</t>
  </si>
  <si>
    <t>ÁREA PROJETADA (M²)</t>
  </si>
  <si>
    <t>CUSTO POR M²</t>
  </si>
  <si>
    <t>Eng.ª Civil Catarina Demoner Diniz</t>
  </si>
  <si>
    <t>CREA ES-0048118/D</t>
  </si>
  <si>
    <t>CRONOGRAMA FÍSICO-FINANCEIRO</t>
  </si>
  <si>
    <t>MÊS</t>
  </si>
  <si>
    <t xml:space="preserve">Físico (%) </t>
  </si>
  <si>
    <t>Financeiro (R$)</t>
  </si>
  <si>
    <t>Total Parcial (%)</t>
  </si>
  <si>
    <t>Total Acumulado (%)</t>
  </si>
  <si>
    <t>Total Financeiro (R$)</t>
  </si>
  <si>
    <t>Total Acumulado (R$)</t>
  </si>
  <si>
    <t>COMPOSIÇÕES DE CUSTO</t>
  </si>
  <si>
    <t>COMP. 01</t>
  </si>
  <si>
    <t>Mão de Obra</t>
  </si>
  <si>
    <t>Unid.</t>
  </si>
  <si>
    <t>Código</t>
  </si>
  <si>
    <t>Coef.</t>
  </si>
  <si>
    <t>Pr. Unit.</t>
  </si>
  <si>
    <t>Sub-total</t>
  </si>
  <si>
    <t>Jardineiro</t>
  </si>
  <si>
    <t>h</t>
  </si>
  <si>
    <t>Total:</t>
  </si>
  <si>
    <t xml:space="preserve">Materiais </t>
  </si>
  <si>
    <t>Cotação 01</t>
  </si>
  <si>
    <t>Adesivo acrílico/cola de contato</t>
  </si>
  <si>
    <t>RESUMO:</t>
  </si>
  <si>
    <t>Discriminação</t>
  </si>
  <si>
    <t>Taxa (%)</t>
  </si>
  <si>
    <t>Valores</t>
  </si>
  <si>
    <t>Preços retirados da tabela de insumos do Sistema Nacional de Pesquisa de Custos e Índices da Construção Civil - SINAPI.</t>
  </si>
  <si>
    <t>Mão de obra (A)</t>
  </si>
  <si>
    <t>Materiais (B)</t>
  </si>
  <si>
    <t>Equipamentos (C)</t>
  </si>
  <si>
    <t>Produção da equipe (D)</t>
  </si>
  <si>
    <t>Custo Horário Total [(A)+(C)]</t>
  </si>
  <si>
    <t>Custo Unitário da Execução [(A)+(C)/(D)]=(E)</t>
  </si>
  <si>
    <t>Custo Direto Total [(B)+(E)]</t>
  </si>
  <si>
    <t>Benefícios e Despesas Indiretas - BDI</t>
  </si>
  <si>
    <t>Custo Unitário (adotado)</t>
  </si>
  <si>
    <t>COMP. 02</t>
  </si>
  <si>
    <t>Pedreiro</t>
  </si>
  <si>
    <t>Auxiliar de Pedreiro</t>
  </si>
  <si>
    <t>Cotação 08</t>
  </si>
  <si>
    <t>Selante elástico monocomponente a base de poliuretano para juntas diversas</t>
  </si>
  <si>
    <t>ml</t>
  </si>
  <si>
    <t xml:space="preserve">densidade da cola pu = 1,20g/ml -&gt; 320ml = R$ 29,38 </t>
  </si>
  <si>
    <t>COMP. 03</t>
  </si>
  <si>
    <t>Auxiliar de serviços gerais</t>
  </si>
  <si>
    <t>Montador de estruturas metálicas</t>
  </si>
  <si>
    <t>Instalação = diametro de 15 cm x altura de 40 cm = 0,007</t>
  </si>
  <si>
    <t>Balanço em Ferro, com 2 lugares, confecção em tubo vapor e pintura esmalte sintético</t>
  </si>
  <si>
    <t>Cotação 04</t>
  </si>
  <si>
    <t>4 pernas</t>
  </si>
  <si>
    <t>Escalada de madeira com teia (cestão), contendo 01 (uma) escada de corda (aranha) e, do lado
oposto, 01 (uma) escada de toras de eucalipto.</t>
  </si>
  <si>
    <t>Cotação 06</t>
  </si>
  <si>
    <t>Gangorra com 03 pranchas, confecção em tubo vapor e pintura esmalte sintético</t>
  </si>
  <si>
    <t>Cotação 02</t>
  </si>
  <si>
    <t>Gira-gira de 8 lugares, confecção em tubo vapor e pintura esmalte sintético</t>
  </si>
  <si>
    <t>Cotação 05</t>
  </si>
  <si>
    <t>1 perna</t>
  </si>
  <si>
    <t>Escorregador de 2 m de comprimento, confecção em tubo vapor e pintura esmalte sintético</t>
  </si>
  <si>
    <t>Cotação 03</t>
  </si>
  <si>
    <t>Fornecimento, preparo e aplicação de concreto Fck=15 MPa (brita 1 e 2) - (5% de perdas já incluído no custo)</t>
  </si>
  <si>
    <t>040233</t>
  </si>
  <si>
    <t xml:space="preserve">Preços da Mão de Obra retirados da tabela de insumos do Sistema Nacional de Pesquisa de Custos e Índices da Construção Civil - SINAPI e os itens 040233 e 030101, retirados da tabela de custos do Instituto de Obras Públicas do Espírito Santo - IOPES. </t>
  </si>
  <si>
    <t xml:space="preserve"> </t>
  </si>
  <si>
    <t xml:space="preserve">Fornecimento e instalação de lixeira dupla de ferro, 60 L, fabricada em tubo de aço, cestos em chapas de aço e pintura eletrostática </t>
  </si>
  <si>
    <t>COMP. 04</t>
  </si>
  <si>
    <t xml:space="preserve">Pedreiro </t>
  </si>
  <si>
    <t>Auxiliar de pedreiro</t>
  </si>
  <si>
    <t>Lixeira dupla, com capacidade volumétrica de 60L, fabricada em tubo de aço carbono, cestos em chapa de aço e pintura no processo eletrostático - para academia ao ar livre / academia da terceita idade - ATI</t>
  </si>
  <si>
    <t>Preços da Mão de Obra retirados da tabela de composições do Sistema Nacional de Pesquisa de Custos e Índices da Construção Civil - SINAPI.</t>
  </si>
  <si>
    <t>Transplantes de ávores</t>
  </si>
  <si>
    <t>COMP. 05</t>
  </si>
  <si>
    <t>Servente com encargos complementares</t>
  </si>
  <si>
    <t xml:space="preserve"> 88316 </t>
  </si>
  <si>
    <t>Escavação manual de vala com profundidade menor ou igual a 1,30 m. Af_03/2 m3</t>
  </si>
  <si>
    <t>Reaterro manual apiloado com soquete. Af_10/2017</t>
  </si>
  <si>
    <t>Aplicação de adubo em solo</t>
  </si>
  <si>
    <t>Preços da Mão de Obra e materiais retirados da tabela de composições do Sistema Nacional de Pesquisa de Custos e Índices da Construção Civil - SINAPI.</t>
  </si>
  <si>
    <t>COMP. 06</t>
  </si>
  <si>
    <t>Areia fina - posto jazida/fornecedor (retirado na jazida, sem transporte)</t>
  </si>
  <si>
    <t>COMP. 07</t>
  </si>
  <si>
    <t>Ajudante</t>
  </si>
  <si>
    <t>010101</t>
  </si>
  <si>
    <t>COMP. 08</t>
  </si>
  <si>
    <t xml:space="preserve">Preços da Mão de Obra e materiais retirados da tabela de composições do Instituto de Obras Públicas do Espírito Santo - IOPES. </t>
  </si>
  <si>
    <t>COMP. 09</t>
  </si>
  <si>
    <t>Areia grossa - posto jazida/fornecedor (retirado na jazida, sem transporte)</t>
  </si>
  <si>
    <t>Fornecimento e instalação de poste cônico contínuo em aço galvanizado, reto, engastado, h= 7 m, diâmetro inferior= 125mm.</t>
  </si>
  <si>
    <t>COMP. 10</t>
  </si>
  <si>
    <t>Pedreiro com encargos complementares</t>
  </si>
  <si>
    <t>88309</t>
  </si>
  <si>
    <t>Poste cônico contínuo em aço galvanizado, reto, engastado, h = 7 m, diâmetro Inferior=*125* mm</t>
  </si>
  <si>
    <t>00014166</t>
  </si>
  <si>
    <t xml:space="preserve">Escavação manual de vala com profundidade menor ou igual a 1,30 m. Af_03/2 </t>
  </si>
  <si>
    <t xml:space="preserve">Guindauto hidráulico, capacidade máxima de carga 3300 kg, momento máximo de carga 5,8 TM, alcance máximo horizontal 7,60 m, inclusive caminhão toco PBT 16.000 kg, potência de 189 CV - CHP diurno. Af_03/2016
</t>
  </si>
  <si>
    <t>CHP</t>
  </si>
  <si>
    <t xml:space="preserve">Preços da Mão de Obra e materiais retirados da tabela de insumos e da tabela de composições do Sistema Nacional de Pesquisa de Custos e Índices da Construção Civil - SINAPI, e o item 040233 retirado da tabela de custos do Instituto de Obras Públicas do Espírito Santo - IOPES. </t>
  </si>
  <si>
    <t>COMP. 11</t>
  </si>
  <si>
    <t>Encanador ou bombeiro hidráulico</t>
  </si>
  <si>
    <t>Auxiliar de encanador ou bombeiro hidráulico</t>
  </si>
  <si>
    <t>Junção dupla, PVC, série R, DN 100x100x100 mm, para esgoto predial</t>
  </si>
  <si>
    <t>00020139</t>
  </si>
  <si>
    <t>COMP. 12</t>
  </si>
  <si>
    <t>Fornecimento de luminária pública de LED, 150 W, temperatura de cor em 5000 K, 18000 lúmens, IP66 - inclusive 3 suportes para fixação de 2 pétalas 1 suporte para fixação de 4 pétalas</t>
  </si>
  <si>
    <t>COMP. 13</t>
  </si>
  <si>
    <t>Luminária pública de LED, com 150 W e montagem em SMD, IP66, 18000 lúmens, temperatura de cor em 5000 K</t>
  </si>
  <si>
    <t>Cotação 09</t>
  </si>
  <si>
    <t>Preços retirados das cotações</t>
  </si>
  <si>
    <t>COMP. 14</t>
  </si>
  <si>
    <t>Refletor LED, com 200 W e montagem em SMD, IP67, temperatura 6500K, 65L/W, luz branca</t>
  </si>
  <si>
    <t>Cotação 12</t>
  </si>
  <si>
    <t>Preço retirado das cotações</t>
  </si>
  <si>
    <t>COMP. 15</t>
  </si>
  <si>
    <t xml:space="preserve">Suporte para fixação de 4 pétalas, diâmetro externo de 48,3 mm a 60,3 mm. </t>
  </si>
  <si>
    <t>Cotação 10</t>
  </si>
  <si>
    <t>COMP. 16</t>
  </si>
  <si>
    <t xml:space="preserve">Suporte para fixação de 2 pétalas, diâmetro externo de 48,3 mm a 60,3 mm. </t>
  </si>
  <si>
    <t>Cotação 11</t>
  </si>
  <si>
    <t>COMP. 17</t>
  </si>
  <si>
    <t>Carpinteiro de formas com encargos complementares</t>
  </si>
  <si>
    <t>88262</t>
  </si>
  <si>
    <t>88316</t>
  </si>
  <si>
    <t>Chapa de madeira compensada plastificada para forma de concreto, de 2,20x1,10 m, E = 10 mm</t>
  </si>
  <si>
    <t>Prego de aço polido com cabeça 18x30 (2.3/4x10)</t>
  </si>
  <si>
    <t>Tábua de madeira não aparelhada 2,5x30 cm, cedrinho ou equivalente da região</t>
  </si>
  <si>
    <t>Tábua de madeira não aparelhada 2,5x23 cm (1x9") pinus, mista ou equivalente da região</t>
  </si>
  <si>
    <t>Concreto FCK = 15 Mpa, traço 1:3, 4:3, 5 (Cimento/areia média/brita 1) - preparo mecânico com betoneira 600 L.</t>
  </si>
  <si>
    <t>Preços retirados do Sistema Nacional de Pesquisa de Custos e Índices da Construção Civil - SINAPI, item 71623 - Chapim de concreto aparente com acabamento desempenado, forma de compensado plastificado (madeirit) 14x10 cm, fundido no local.</t>
  </si>
  <si>
    <t>DETALHAMENTO DO BDI</t>
  </si>
  <si>
    <t>PROPONENTE:</t>
  </si>
  <si>
    <t>Prefeitura Municipal de Itarana</t>
  </si>
  <si>
    <t>OBRA:</t>
  </si>
  <si>
    <t>Construção de área recreativa para crianças</t>
  </si>
  <si>
    <t>1. Regime de Contribuição Previdenciária</t>
  </si>
  <si>
    <t>Com Desoneração</t>
  </si>
  <si>
    <t>2. Tipo de Intervenção</t>
  </si>
  <si>
    <t>Edificações</t>
  </si>
  <si>
    <t>3. Incidências sobre o custo</t>
  </si>
  <si>
    <t>4 – Incidências sobre o preço de venda</t>
  </si>
  <si>
    <t>Despesas Tributárias - I</t>
  </si>
  <si>
    <t>Percentual da base de cálculo para o ISS:</t>
  </si>
  <si>
    <t>Alíquota do ISS (sobre a base de cálculo):</t>
  </si>
  <si>
    <t>COFINS</t>
  </si>
  <si>
    <t>PIS</t>
  </si>
  <si>
    <t>INSS</t>
  </si>
  <si>
    <t>5 – Demonstrativo de cálculo do BDI</t>
  </si>
  <si>
    <t>( 1- I )</t>
  </si>
  <si>
    <t>Declaro para os devidos fins que, conforme legislação tributária municipal, a base de cálculo</t>
  </si>
  <si>
    <t xml:space="preserve">Declaro para os devidos fins que o regime de Contribuição Previdenciária adotado para </t>
  </si>
  <si>
    <t xml:space="preserve">a Administração Pública.    </t>
  </si>
  <si>
    <t>Engenheiro</t>
  </si>
  <si>
    <t>Catarina Demoner Diniz</t>
  </si>
  <si>
    <t>CREA/CAU:</t>
  </si>
  <si>
    <t>ES-0048118/D</t>
  </si>
  <si>
    <t>Responsável Tomador</t>
  </si>
  <si>
    <t>Nome</t>
  </si>
  <si>
    <t>Ademar Schneider</t>
  </si>
  <si>
    <t>Cargo</t>
  </si>
  <si>
    <t>Prefeito Municipal</t>
  </si>
  <si>
    <t xml:space="preserve">COTAÇÕES DE MATERIAIS </t>
  </si>
  <si>
    <t>COTAÇÃO 01</t>
  </si>
  <si>
    <t>Unid.: m²</t>
  </si>
  <si>
    <t>Empresa 1</t>
  </si>
  <si>
    <t>Divpiso Distribuidora - Vitória/ES</t>
  </si>
  <si>
    <t>Unidade</t>
  </si>
  <si>
    <t>Quantidade</t>
  </si>
  <si>
    <t>Valor Unitário</t>
  </si>
  <si>
    <t>Valor Total</t>
  </si>
  <si>
    <t>(27) 3022-0050</t>
  </si>
  <si>
    <t>Total (A):</t>
  </si>
  <si>
    <t>Empresa 2</t>
  </si>
  <si>
    <t>Sempre Verde Gardem Center - Vitória/ES</t>
  </si>
  <si>
    <t>(27) 3203-8500</t>
  </si>
  <si>
    <t>Total (B):</t>
  </si>
  <si>
    <t>Empresa 3</t>
  </si>
  <si>
    <t>Toque Final Paisagismo e Grama Sintética - Serra/ES</t>
  </si>
  <si>
    <t>(27) 99991-8124</t>
  </si>
  <si>
    <t>Total (C):</t>
  </si>
  <si>
    <t>(D) MÉDIA DOS TRÊS VALORES TOTAIS [(A)+(B)+(C)]/3</t>
  </si>
  <si>
    <t>COTAÇÃO 02</t>
  </si>
  <si>
    <t>Unid.: und</t>
  </si>
  <si>
    <t>Mega Playgrounds - São Paulo/SP</t>
  </si>
  <si>
    <t>(11) 7267-3766</t>
  </si>
  <si>
    <t>Concreplay - Mogi das Cruzes/SP</t>
  </si>
  <si>
    <t>(11) 97760-7405</t>
  </si>
  <si>
    <t>Vilu Brinquedos - Ribeirão Preto/SP</t>
  </si>
  <si>
    <t>(16) 99385-8982</t>
  </si>
  <si>
    <t>COTAÇÃO 03</t>
  </si>
  <si>
    <t>COTAÇÃO 04</t>
  </si>
  <si>
    <t>Metaltech</t>
  </si>
  <si>
    <t>(19) 3473-3439</t>
  </si>
  <si>
    <t>COTAÇÃO 05</t>
  </si>
  <si>
    <t>Best Play - São Paulo/SP</t>
  </si>
  <si>
    <t>(11) 2604-5322 / (11) 2601-5657</t>
  </si>
  <si>
    <t>COTAÇÃO 06</t>
  </si>
  <si>
    <t>Kaska Playgrounds e Madeiras ecológicas - Campos do Jorão/SP</t>
  </si>
  <si>
    <t>(12) 98149-6772</t>
  </si>
  <si>
    <t>Play Verde - Petrópolis/RJ</t>
  </si>
  <si>
    <t>(24) 2222-4685</t>
  </si>
  <si>
    <t>Animamix Brinquedos - Piracicaba/SP</t>
  </si>
  <si>
    <t>(19) 99921-5956</t>
  </si>
  <si>
    <t>COTAÇÃO  07</t>
  </si>
  <si>
    <t>Intec Plásticos - São Paulo/SP</t>
  </si>
  <si>
    <t>(11) 99652-1644</t>
  </si>
  <si>
    <t>R&amp;A VirtUau - São Paulo/SP</t>
  </si>
  <si>
    <t>(11) 96632-0702 / (11) 2639-5000</t>
  </si>
  <si>
    <t>Total (B)</t>
  </si>
  <si>
    <t>TNA Plast - Atibaia/SP</t>
  </si>
  <si>
    <t>(11) 3197-8810</t>
  </si>
  <si>
    <t>COTAÇÃO 08</t>
  </si>
  <si>
    <t>Krenke Brinquedos Pedagógicos Guaramirim/SC</t>
  </si>
  <si>
    <t>(47) 3373-0893 ou (47) 98803-3068</t>
  </si>
  <si>
    <t>Prime Representações</t>
  </si>
  <si>
    <t>(27) 3341-4156 ou (27) 99942-8399</t>
  </si>
  <si>
    <t>Belgrano Comércios e Serviços LTDA - Vitória/ES</t>
  </si>
  <si>
    <t>(27) 3227-6454 ou (27) 3325-9550</t>
  </si>
  <si>
    <t>COTAÇÃO 09</t>
  </si>
  <si>
    <t>Rlux Iluminação LTDA - Paulínia/SP</t>
  </si>
  <si>
    <t>(19) 2139-7145</t>
  </si>
  <si>
    <t>Fraven Material Elétrico - Vitória/ES</t>
  </si>
  <si>
    <t>(27) 99876-8009 / (27) 2125-0800</t>
  </si>
  <si>
    <t>Eletromil Materiais Elétricos - Vitória/ES</t>
  </si>
  <si>
    <t>(27) 3357-1000 / (27) 99298-3455</t>
  </si>
  <si>
    <t>COTAÇÃO 10</t>
  </si>
  <si>
    <t>PE Comércio de Iluminação LTDA - Serra/ES</t>
  </si>
  <si>
    <t>(27) 99890-3354</t>
  </si>
  <si>
    <t>COTAÇÃO 11</t>
  </si>
  <si>
    <t>Empresa 4</t>
  </si>
  <si>
    <t>Empresa 5</t>
  </si>
  <si>
    <t>COTAÇÃO 12</t>
  </si>
  <si>
    <t xml:space="preserve">RB Elétrica Comércio e Serviços LTDA </t>
  </si>
  <si>
    <t>(27) 3338-1497</t>
  </si>
  <si>
    <t>Vitória Elétrico e Hidráulico</t>
  </si>
  <si>
    <t>(27) 3343-6484</t>
  </si>
  <si>
    <t>Fraven Material Elétrico</t>
  </si>
  <si>
    <t>(27) 2125-0800 /  (27) 9 9876-8009</t>
  </si>
  <si>
    <t>039089</t>
  </si>
  <si>
    <t>Rede com malha grossa para trave de futebol salão (LABOR)</t>
  </si>
  <si>
    <t>039113</t>
  </si>
  <si>
    <t>Montador</t>
  </si>
  <si>
    <t>010130</t>
  </si>
  <si>
    <t xml:space="preserve">Preços retirados da tabela de insumos do Instituto de Obras Públicas do Espírito Santo - IOPES. </t>
  </si>
  <si>
    <t xml:space="preserve">Trave de futebol de areia, com 5,50 m de largura e 2,20 m de altura, fundo anticorrosivo, pintura em esmalte sintético, na cor amarela. </t>
  </si>
  <si>
    <t>Campo de areia - Projeto Arq. Prancha 5/7</t>
  </si>
  <si>
    <t>Campo de areia - Projeto de Drenagem Prancha 1/1</t>
  </si>
  <si>
    <t>TOTAL:</t>
  </si>
  <si>
    <t>Manta Geotextil de poliester Bidim RT-16</t>
  </si>
  <si>
    <t>024029</t>
  </si>
  <si>
    <r>
      <t>OBRA:</t>
    </r>
    <r>
      <rPr>
        <sz val="10"/>
        <rFont val="Cambria"/>
        <family val="1"/>
      </rPr>
      <t xml:space="preserve"> Construção de áreas recreativas com </t>
    </r>
    <r>
      <rPr>
        <i/>
        <sz val="10"/>
        <rFont val="Cambria"/>
        <family val="1"/>
      </rPr>
      <t>playground</t>
    </r>
    <r>
      <rPr>
        <sz val="10"/>
        <rFont val="Cambria"/>
        <family val="1"/>
      </rPr>
      <t xml:space="preserve"> e campo de futebol de areia </t>
    </r>
  </si>
  <si>
    <r>
      <t>LOCAL:</t>
    </r>
    <r>
      <rPr>
        <sz val="10"/>
        <rFont val="Cambria"/>
        <family val="1"/>
      </rPr>
      <t xml:space="preserve"> Itaraninha, Itarana, Espírito Santo</t>
    </r>
  </si>
  <si>
    <r>
      <t>ORÇAMENTISTA:</t>
    </r>
    <r>
      <rPr>
        <sz val="10"/>
        <rFont val="Cambria"/>
        <family val="1"/>
      </rPr>
      <t xml:space="preserve"> </t>
    </r>
  </si>
  <si>
    <r>
      <t>ORÇAMENTISTA:</t>
    </r>
    <r>
      <rPr>
        <sz val="10"/>
        <rFont val="Cambria"/>
        <family val="1"/>
      </rPr>
      <t xml:space="preserve"> Eng.ª Civil CATARINA DEMONER DINIZ - CREA: ES-0048118/D</t>
    </r>
  </si>
  <si>
    <r>
      <t xml:space="preserve">Perímetro total do projeto (campo de areia + </t>
    </r>
    <r>
      <rPr>
        <i/>
        <sz val="10"/>
        <color theme="1"/>
        <rFont val="Cambria"/>
        <family val="1"/>
      </rPr>
      <t>playground</t>
    </r>
    <r>
      <rPr>
        <sz val="10"/>
        <color theme="1"/>
        <rFont val="Cambria"/>
        <family val="1"/>
      </rPr>
      <t>) - Projeto Arq. Prancha 5/7</t>
    </r>
  </si>
  <si>
    <r>
      <t>Área total do projeto (</t>
    </r>
    <r>
      <rPr>
        <i/>
        <sz val="10"/>
        <color theme="1"/>
        <rFont val="Cambria"/>
        <family val="1"/>
      </rPr>
      <t>playground</t>
    </r>
    <r>
      <rPr>
        <sz val="10"/>
        <color theme="1"/>
        <rFont val="Cambria"/>
        <family val="1"/>
      </rPr>
      <t>) - Projeto Arq. Prancha 1/7</t>
    </r>
  </si>
  <si>
    <r>
      <t xml:space="preserve">Árvores adultas do </t>
    </r>
    <r>
      <rPr>
        <i/>
        <sz val="10"/>
        <color theme="1"/>
        <rFont val="Cambria"/>
        <family val="1"/>
      </rPr>
      <t xml:space="preserve">playground </t>
    </r>
    <r>
      <rPr>
        <sz val="10"/>
        <color theme="1"/>
        <rFont val="Cambria"/>
        <family val="1"/>
      </rPr>
      <t xml:space="preserve">- Projeto Arq. Prancha 4/7 </t>
    </r>
  </si>
  <si>
    <r>
      <t xml:space="preserve">Contra-piso = (área do </t>
    </r>
    <r>
      <rPr>
        <i/>
        <sz val="10"/>
        <color theme="1"/>
        <rFont val="Cambria"/>
        <family val="1"/>
      </rPr>
      <t xml:space="preserve">playground </t>
    </r>
    <r>
      <rPr>
        <sz val="10"/>
        <color theme="1"/>
        <rFont val="Cambria"/>
        <family val="1"/>
      </rPr>
      <t>- área dos canteiros) - Projeto Arq. Prancha 3/7</t>
    </r>
  </si>
  <si>
    <r>
      <t xml:space="preserve">Perímetro do </t>
    </r>
    <r>
      <rPr>
        <i/>
        <sz val="10"/>
        <color theme="1"/>
        <rFont val="Cambria"/>
        <family val="1"/>
      </rPr>
      <t>playground</t>
    </r>
    <r>
      <rPr>
        <sz val="10"/>
        <color theme="1"/>
        <rFont val="Cambria"/>
        <family val="1"/>
      </rPr>
      <t xml:space="preserve"> para contra-piso (s/ calçada) - Projeto Arq. Prancha 3/7</t>
    </r>
  </si>
  <si>
    <t>COEF.</t>
  </si>
  <si>
    <t>Corte no terreno - Projeto Arq. Prancha 4/7</t>
  </si>
  <si>
    <t>Sapatas 1,25x1,00: Ct. 0,00 - A06, B06, C03, D06, E06, F06</t>
  </si>
  <si>
    <t>Sapatas 1,00x1,00: Ct. +1,25 - A02, A03, A04, B05, C05, D05, E05, F05</t>
  </si>
  <si>
    <t>Sapatas 1,25x1,00: Ct. +1,25 - A01, B01, C01, D01, E01, F01, A05</t>
  </si>
  <si>
    <t>Sapatas 1,25x1,00: A01; B01; C01; D01; E01; F01; A05; A06; B06; C06; D06; E06; F06</t>
  </si>
  <si>
    <t>Sapatas 1,00x1,00: A02; A03; A04; B05; C05; D05; E05; F05</t>
  </si>
  <si>
    <t>Volume de Escavação - Volume de Concreto (sapatas) - Volume de Concreto (Arranque)</t>
  </si>
  <si>
    <t>Arranques: A02; A03; A04; B05; C05; D05; E05; F05</t>
  </si>
  <si>
    <t>Arranques: A01; B01; C01; D01; E01; F01; A05; A06; B06; C06; D06; E06; F06</t>
  </si>
  <si>
    <t>Pilar/Arranque</t>
  </si>
  <si>
    <t>Pilares: A01; B01; C01; D01; E01; F01; A05; A06; B06; C06; D06; E06; F06</t>
  </si>
  <si>
    <t>Arranques/Fundação: A02; A03; A04; B05; C05; D05; E05; F05</t>
  </si>
  <si>
    <t>Pilares/Arranques: A02; A03; A04; B05; C05; D05; E05; F05</t>
  </si>
  <si>
    <t>Arranques/Fundação: A01; B01; C01; D01; E01; F01; A05; A06; B06; C06; D06; E06; F06</t>
  </si>
  <si>
    <r>
      <t xml:space="preserve">Pilar Arranque (Armadura Long.): </t>
    </r>
    <r>
      <rPr>
        <i/>
        <sz val="10"/>
        <color theme="1"/>
        <rFont val="Cambria"/>
        <family val="1"/>
      </rPr>
      <t>4N1</t>
    </r>
    <r>
      <rPr>
        <sz val="10"/>
        <color theme="1"/>
        <rFont val="Cambria"/>
        <family val="1"/>
      </rPr>
      <t>∅</t>
    </r>
    <r>
      <rPr>
        <i/>
        <sz val="10"/>
        <color theme="1"/>
        <rFont val="Cambria"/>
        <family val="1"/>
      </rPr>
      <t>10.0 C=215</t>
    </r>
  </si>
  <si>
    <r>
      <t xml:space="preserve">Pilar Arranque (Armadura Vert.): </t>
    </r>
    <r>
      <rPr>
        <i/>
        <sz val="10"/>
        <color theme="1"/>
        <rFont val="Cambria"/>
        <family val="1"/>
      </rPr>
      <t>8N2</t>
    </r>
    <r>
      <rPr>
        <sz val="10"/>
        <color theme="1"/>
        <rFont val="Cambria"/>
        <family val="1"/>
      </rPr>
      <t>∅</t>
    </r>
    <r>
      <rPr>
        <i/>
        <sz val="10"/>
        <color theme="1"/>
        <rFont val="Cambria"/>
        <family val="1"/>
      </rPr>
      <t>6.3 c/15 C=104</t>
    </r>
  </si>
  <si>
    <r>
      <t xml:space="preserve">Arranque/Fundação (Armadura Long.): </t>
    </r>
    <r>
      <rPr>
        <i/>
        <sz val="10"/>
        <color theme="1"/>
        <rFont val="Cambria"/>
        <family val="1"/>
      </rPr>
      <t>4</t>
    </r>
    <r>
      <rPr>
        <sz val="10"/>
        <color theme="1"/>
        <rFont val="Cambria"/>
        <family val="1"/>
      </rPr>
      <t>∅</t>
    </r>
    <r>
      <rPr>
        <i/>
        <sz val="10"/>
        <color theme="1"/>
        <rFont val="Cambria"/>
        <family val="1"/>
      </rPr>
      <t>10.0 C=147</t>
    </r>
  </si>
  <si>
    <r>
      <t>Arranque/Fundação (Armadura Vert.):</t>
    </r>
    <r>
      <rPr>
        <i/>
        <sz val="10"/>
        <color theme="1"/>
        <rFont val="Cambria"/>
        <family val="1"/>
      </rPr>
      <t xml:space="preserve"> 3</t>
    </r>
    <r>
      <rPr>
        <sz val="10"/>
        <color theme="1"/>
        <rFont val="Cambria"/>
        <family val="1"/>
      </rPr>
      <t>∅</t>
    </r>
    <r>
      <rPr>
        <i/>
        <sz val="10"/>
        <color theme="1"/>
        <rFont val="Cambria"/>
        <family val="1"/>
      </rPr>
      <t>6.3 C=88</t>
    </r>
  </si>
  <si>
    <r>
      <t xml:space="preserve">Pilar Arranque (Armadura Long.): </t>
    </r>
    <r>
      <rPr>
        <i/>
        <sz val="10"/>
        <color theme="1"/>
        <rFont val="Cambria"/>
        <family val="1"/>
      </rPr>
      <t>6N1</t>
    </r>
    <r>
      <rPr>
        <sz val="10"/>
        <color theme="1"/>
        <rFont val="Cambria"/>
        <family val="1"/>
      </rPr>
      <t>∅</t>
    </r>
    <r>
      <rPr>
        <i/>
        <sz val="10"/>
        <color theme="1"/>
        <rFont val="Cambria"/>
        <family val="1"/>
      </rPr>
      <t>10.0 C=210</t>
    </r>
  </si>
  <si>
    <r>
      <t>Pilar Arranque (Armadura Vert.):</t>
    </r>
    <r>
      <rPr>
        <i/>
        <sz val="10"/>
        <color theme="1"/>
        <rFont val="Cambria"/>
        <family val="1"/>
      </rPr>
      <t xml:space="preserve"> 8N2</t>
    </r>
    <r>
      <rPr>
        <sz val="10"/>
        <color theme="1"/>
        <rFont val="Cambria"/>
        <family val="1"/>
      </rPr>
      <t>∅</t>
    </r>
    <r>
      <rPr>
        <i/>
        <sz val="10"/>
        <color theme="1"/>
        <rFont val="Cambria"/>
        <family val="1"/>
      </rPr>
      <t>6.3 c/15 C=128 / 8N3</t>
    </r>
    <r>
      <rPr>
        <sz val="10"/>
        <color theme="1"/>
        <rFont val="Cambria"/>
        <family val="1"/>
      </rPr>
      <t>∅</t>
    </r>
    <r>
      <rPr>
        <i/>
        <sz val="10"/>
        <color theme="1"/>
        <rFont val="Cambria"/>
        <family val="1"/>
      </rPr>
      <t>6.3 c/15 C=27</t>
    </r>
  </si>
  <si>
    <r>
      <t xml:space="preserve">Arranque/Fundação (Armadura Long.): </t>
    </r>
    <r>
      <rPr>
        <i/>
        <sz val="10"/>
        <color theme="1"/>
        <rFont val="Cambria"/>
        <family val="1"/>
      </rPr>
      <t>6</t>
    </r>
    <r>
      <rPr>
        <sz val="10"/>
        <color theme="1"/>
        <rFont val="Cambria"/>
        <family val="1"/>
      </rPr>
      <t>∅</t>
    </r>
    <r>
      <rPr>
        <i/>
        <sz val="10"/>
        <color theme="1"/>
        <rFont val="Cambria"/>
        <family val="1"/>
      </rPr>
      <t>10.0 C=152</t>
    </r>
  </si>
  <si>
    <r>
      <t xml:space="preserve">Arranque/Fundação (Armadura Vert.): </t>
    </r>
    <r>
      <rPr>
        <i/>
        <sz val="10"/>
        <color theme="1"/>
        <rFont val="Cambria"/>
        <family val="1"/>
      </rPr>
      <t>3</t>
    </r>
    <r>
      <rPr>
        <sz val="10"/>
        <color theme="1"/>
        <rFont val="Cambria"/>
        <family val="1"/>
      </rPr>
      <t>∅</t>
    </r>
    <r>
      <rPr>
        <i/>
        <sz val="10"/>
        <color theme="1"/>
        <rFont val="Cambria"/>
        <family val="1"/>
      </rPr>
      <t>6.3 C=134 / 3</t>
    </r>
    <r>
      <rPr>
        <sz val="10"/>
        <color theme="1"/>
        <rFont val="Cambria"/>
        <family val="1"/>
      </rPr>
      <t>∅</t>
    </r>
    <r>
      <rPr>
        <i/>
        <sz val="10"/>
        <color theme="1"/>
        <rFont val="Cambria"/>
        <family val="1"/>
      </rPr>
      <t>6.3 C=22</t>
    </r>
  </si>
  <si>
    <t>Ref. De Preços:</t>
  </si>
  <si>
    <t>IOPES/SINAPI</t>
  </si>
  <si>
    <t>DATA-BASE:</t>
  </si>
  <si>
    <t>BDI:</t>
  </si>
  <si>
    <t>V-101 Ct.: + 0,00</t>
  </si>
  <si>
    <t>V-102 Ct.: + 0,00</t>
  </si>
  <si>
    <t>V-103 Ct.: + 0,00</t>
  </si>
  <si>
    <t>V-104 Ct.: + 0,00</t>
  </si>
  <si>
    <t>V-105 Ct.: + 0,00</t>
  </si>
  <si>
    <t>V-106 Ct.: + 0,00</t>
  </si>
  <si>
    <t>V-107 Ct.: + 0,00</t>
  </si>
  <si>
    <t>V-108 Ct.: + 0,00</t>
  </si>
  <si>
    <t>V-201 Ct.: + 1,25</t>
  </si>
  <si>
    <t>V-202 Ct.: + 1,25</t>
  </si>
  <si>
    <t>V-203 Ct.: + 1,25</t>
  </si>
  <si>
    <t>V-204 Ct.: + 1,25</t>
  </si>
  <si>
    <t>V-205 Ct.: + 1,25</t>
  </si>
  <si>
    <t>V-206 Ct.: + 1,25</t>
  </si>
  <si>
    <t>V-207 Ct.: + 1,25</t>
  </si>
  <si>
    <t>V-208 Ct.: + 1,25</t>
  </si>
  <si>
    <t>V-209 Ct.: + 1,25</t>
  </si>
  <si>
    <t>V-210 Ct.: + 1,25</t>
  </si>
  <si>
    <t>V-216 Ct.: + 1,25</t>
  </si>
  <si>
    <t>V-217 Ct.: + 1,25</t>
  </si>
  <si>
    <t>V-102 Ct.: + 0,00 (6 ø 10.0mm)</t>
  </si>
  <si>
    <t>V-102 Ct.: + 0,00 (32 ø 6.3mm c/ 15 c=108)</t>
  </si>
  <si>
    <t>V-101 Ct.: + 0,00 (6 ø 10.0mm)</t>
  </si>
  <si>
    <t>V-101 Ct.: + 0,00 (31 ø 6.3mm c/15 c=108)</t>
  </si>
  <si>
    <t>V-103 Ct.: + 0,00 (6 ø 10.0mm)</t>
  </si>
  <si>
    <t>V-103 Ct.: + 0,00 (32 ø 6.3mm c/ 15 c=108)</t>
  </si>
  <si>
    <t>V-104 Ct.: + 0,00 (6 ø 10.0mm)</t>
  </si>
  <si>
    <t>V-105 Ct.: + 0,00  (6 ø 10.0mm)</t>
  </si>
  <si>
    <t>V-106 Ct.: + 0,00 (6 ø 10.0mm)</t>
  </si>
  <si>
    <t>V-107 Ct.: + 0,00 (6 ø 10.0mm)</t>
  </si>
  <si>
    <t>V-108 Ct.: + 0,00 (6 ø 10.0mm)</t>
  </si>
  <si>
    <t>V-201 Ct.: + 1,25 (6 ø 10.0mm)</t>
  </si>
  <si>
    <t>V-202 Ct.: + 1,25 (6 ø 10.0mm)</t>
  </si>
  <si>
    <t>V-203 Ct.: + 1,25 (6 ø 10.0mm)</t>
  </si>
  <si>
    <t>V-204 Ct.: + 1,25 (6 ø 10.0mm)</t>
  </si>
  <si>
    <t>V-205 Ct.: + 1,25 (6 ø 10.0mm)</t>
  </si>
  <si>
    <t>V-206 Ct.: + 1,25 (6 ø 10.0mm)</t>
  </si>
  <si>
    <t>V-207 Ct.: + 1,25 (6 ø 10.0mm)</t>
  </si>
  <si>
    <t>V-208 Ct.: + 1,25 (6 ø 10.0mm)</t>
  </si>
  <si>
    <t>V-209 Ct.: + 1,25 (6 ø 10.0mm)</t>
  </si>
  <si>
    <t>V-210 Ct.: + 1,25 (6 ø 10.0mm)</t>
  </si>
  <si>
    <t>V-216 Ct.: + 1,25 (6 ø 10.0mm)</t>
  </si>
  <si>
    <t>V-217 Ct.: + 1,25 (6 ø 10.0mm)</t>
  </si>
  <si>
    <t>V-104 Ct.: + 0,00 (32 ø 6.3mm c/ 15 c=108)</t>
  </si>
  <si>
    <t>V-105 Ct.: + 0,00 (32 ø 6.3mm c/ 15 c=108)</t>
  </si>
  <si>
    <t>V-106 Ct.: + 0,00 (27 ø 6.3mm c/15 c=104)</t>
  </si>
  <si>
    <t>V-107 Ct.: + 0,00 (26 ø 6.3mm c/15 c=104)</t>
  </si>
  <si>
    <t>V-108 Ct.: + 0,00 (32 ø 6.3mm c/15 c=108)</t>
  </si>
  <si>
    <t>V-201 Ct.: + 1,25 (32 ø 6.3mm c/15 c=108)</t>
  </si>
  <si>
    <t>V-202 Ct.: + 1,25 (32 ø 6.3mm c/15 c=108)</t>
  </si>
  <si>
    <t>V-203 Ct.: + 1,25(32 ø 6.3mm c/15 c=108)</t>
  </si>
  <si>
    <t>V-204 Ct.: + 1,25 (32 ø 6.3mm c/15 c=108)</t>
  </si>
  <si>
    <t>V-205 Ct.: + 1,25 (32 ø 6.3mm c/15 c=108)</t>
  </si>
  <si>
    <t>V-206 Ct.: + 1,25 (32 ø 6.3mm c/15 c=104)</t>
  </si>
  <si>
    <t>V-207 Ct.: + 1,25 (31 ø 6.3mm c/15 c=104)</t>
  </si>
  <si>
    <t>V-208 Ct.: + 1,25 (31 ø 6.3mm c/15 c=104)</t>
  </si>
  <si>
    <t>V-209 Ct.: + 1,25 (31 ø 6.3mm c/15 c=104)</t>
  </si>
  <si>
    <t>V-210 Ct.: + 1,25 (31 ø 6.3mm c/15 c=104)</t>
  </si>
  <si>
    <t>V-216 Ct.: + 1,25 (27 ø 6.3mm c/15 c=104)</t>
  </si>
  <si>
    <t>V-217 Ct.: + 1,25 (27 ø 6.3mm c/15 c=104)</t>
  </si>
  <si>
    <t>A01: Seção Ct. +0,00 a +0,50</t>
  </si>
  <si>
    <t>B01: Seção Ct. +0,00 a +0,89</t>
  </si>
  <si>
    <t>C01: Seção Ct. +0,00 a +1,28</t>
  </si>
  <si>
    <t>D01: Seção Ct. +0,00 a +1,67</t>
  </si>
  <si>
    <t>E01: Seção Ct. +0,00 a +2,07</t>
  </si>
  <si>
    <t>F01: Seção Ct. +0,00 a +2,50</t>
  </si>
  <si>
    <t>A02, B05, C05, D05, E05 e F05: Seção Ct. +0,00 a +0,50</t>
  </si>
  <si>
    <t>A03 e A04: Seção Ct. +0,00 a +1,75</t>
  </si>
  <si>
    <t>A05: Seção Ct. +0,00 a +1,75</t>
  </si>
  <si>
    <t>A06, B06, C06, D06, E06 e F06: Seção Ct. +0,00 a +1,25</t>
  </si>
  <si>
    <t>A01: Armadura Longitudinal - 4N1ø10.0 C=47</t>
  </si>
  <si>
    <r>
      <t>A01: Armadura Vertical - 3N3</t>
    </r>
    <r>
      <rPr>
        <sz val="10"/>
        <color theme="1"/>
        <rFont val="Calibri"/>
        <family val="2"/>
      </rPr>
      <t>ø6.3 c/15 C=132</t>
    </r>
  </si>
  <si>
    <t>B01: Armadura Longitudinal - 4N1ø10.0 C=103</t>
  </si>
  <si>
    <t>C01: Armadura Longitudinal - 4N1ø10.0 C=143</t>
  </si>
  <si>
    <t>B01: Armadura Vertical - 6N3ø6.3 c/15 C=132</t>
  </si>
  <si>
    <r>
      <t>A01: Armadura Vertical - 3N4</t>
    </r>
    <r>
      <rPr>
        <sz val="10"/>
        <color theme="1"/>
        <rFont val="Calibri"/>
        <family val="2"/>
      </rPr>
      <t>ø6.3 c/15 C=22</t>
    </r>
  </si>
  <si>
    <t>B01: Armadura Vertical - 6N4ø6.3 c/15 C=22</t>
  </si>
  <si>
    <t>C01: Armadura Vertical - 8N3ø6.3 c/15 C=132</t>
  </si>
  <si>
    <t>C01: Armadura Vertical - 8N4ø6.3 c/15 C=22</t>
  </si>
  <si>
    <t>D01: Armadura Longitudinal - 4N1ø10.0 C=182</t>
  </si>
  <si>
    <t>D01: Armadura Vertical - 11N3ø6.3 c/15 C=132</t>
  </si>
  <si>
    <t>D01: Armadura Vertical - 11N4ø6.3 c/15 C=22</t>
  </si>
  <si>
    <t>E01: Armadura Longitudinal - 4N1ø10.0 C=221</t>
  </si>
  <si>
    <t>E01: Armadura Vertical - 14N3ø6.3 c/15 C=132</t>
  </si>
  <si>
    <t>E01: Armadura Vertical - 14N4ø6.3 c/15 C=22</t>
  </si>
  <si>
    <t>F01: Armadura Longitudinal - 4N1ø10.0 C=265</t>
  </si>
  <si>
    <t>F01: Armadura Vertical - 17N3ø6.3 c/15 C=132</t>
  </si>
  <si>
    <t>F01: Armadura Vertical - 17N4ø6.3 c/15 C=22</t>
  </si>
  <si>
    <t>A02, B05, C05, D05, E05 e F09: Armadura Longitudinal - 4N1ø10.0 C=47 (6 REPETIÇÕES)</t>
  </si>
  <si>
    <t>A03 e A04: Armadura Longitudinal - 4N1ø10.0 C=172 (2 REPETIÇÕES)</t>
  </si>
  <si>
    <t>A03 e A04: Armadura Vertical - 12N2ø6.3 c/15 C=108 (2 REPETIÇÕES)</t>
  </si>
  <si>
    <t>A02, B05, C05, D05, E05 e F09: Armadura Vertical - 3N2ø6.3 c/15 C=108 (6 REPETIÇÕES)</t>
  </si>
  <si>
    <t>A05: Armadura Longitudinal - 4N1ø10.0 C=190</t>
  </si>
  <si>
    <t>A05: Armadura Vertical - 12N3ø6.3 c/15 C=132</t>
  </si>
  <si>
    <t>A05: Armadura Vertical - 12N4ø6.3 c/15 C=22</t>
  </si>
  <si>
    <t>A05: Armadura Longitudinal - 2N2ø10.0 C=202</t>
  </si>
  <si>
    <t>F01: Armadura Longitudinal - 2N2ø10.0 C=277</t>
  </si>
  <si>
    <t>E01: Armadura Longitudinal - 2N2ø10.0 C=233</t>
  </si>
  <si>
    <t>D01: Armadura Longitudinal - 2N2ø10.0 C=194</t>
  </si>
  <si>
    <t>C01: Armadura Longitudinal - 2N2ø10.0 C=153</t>
  </si>
  <si>
    <t>B01: Armadura Longitudinal - 2N2ø10.0 C=115</t>
  </si>
  <si>
    <t>A01: Armadura Longitudinal - 2N2ø10.0 C=77</t>
  </si>
  <si>
    <t>A06, B06, C06, D06, E06 e F06: Armadura Longitudinal - 4N1ø10.0 C=135 (6 REPETIÇÕES)</t>
  </si>
  <si>
    <t>A06, B06, C06, D06, E06 e F06: Armadura Longitudinal - 2N2ø10.0 C=152 (6 REPETIÇÕES)</t>
  </si>
  <si>
    <t>A06, B06, C06, D06, E06 e F06: Armadura Vertical - 8N3ø6.3 c/15 C=132 (6 REPETIÇÕES)</t>
  </si>
  <si>
    <t>A06, B06, C06, D06, E06 e F06: Armadura Vertical - 8N4ø6.3 c/15 C=22 (6 REPETIÇÕES)</t>
  </si>
  <si>
    <t>V-211 Ct.: +1,25</t>
  </si>
  <si>
    <t>V-212 Ct.: +1,25</t>
  </si>
  <si>
    <t>V-213 Ct.: +1,25</t>
  </si>
  <si>
    <t>V-215 Ct.: +1,25</t>
  </si>
  <si>
    <t>V-214 Ct.: +1,25</t>
  </si>
  <si>
    <t>V-301 Ct.: +2,53</t>
  </si>
  <si>
    <t>V-218 Ct.: +1,25</t>
  </si>
  <si>
    <t>V-219 Ct.: +1,25</t>
  </si>
  <si>
    <t>V-302 Ct.: +2,92</t>
  </si>
  <si>
    <t>V-303 Ct.: +3,32</t>
  </si>
  <si>
    <t>V-211 Ct.: +1,25 (6 ø 10.0mm)</t>
  </si>
  <si>
    <t>V-212 Ct.: +1,25 (6 ø 10.0mm)</t>
  </si>
  <si>
    <t>V-213 Ct.: +1,25 (6 ø 10.0mm)</t>
  </si>
  <si>
    <t>V-214 Ct.: +1,25 (6 ø 10.0mm)</t>
  </si>
  <si>
    <t>V-215 Ct.: +1,25 (6 ø 10.0mm)</t>
  </si>
  <si>
    <t>V-218 Ct.: +1,25 (6 ø 10.0mm)</t>
  </si>
  <si>
    <t>V-219 Ct.: +1,25 (6 ø 10.0mm)</t>
  </si>
  <si>
    <t>V-301 Ct.: +2,53 (6 ø 10.0mm)</t>
  </si>
  <si>
    <t>V-302 Ct.: +2,92 (6 ø 10.0mm)</t>
  </si>
  <si>
    <t>V-303 Ct.: +3,32 (6 ø 10.0mm)</t>
  </si>
  <si>
    <t>V-211 Ct.: +1,25 (31 ø 6.3mm c/15 c=108)</t>
  </si>
  <si>
    <t>V-212 Ct.: +1,25 (32 ø 6.3mm c/15 c=108)</t>
  </si>
  <si>
    <t>V-213 Ct.: +1,25 (32 ø 6.3mm c/15 c=108)</t>
  </si>
  <si>
    <t>V-214 Ct.: +1,25 (32 ø 6.3mm c/15 c=108)</t>
  </si>
  <si>
    <t>V-215 Ct.: +1,25 (32 ø 6.3mm c/15 c=108)</t>
  </si>
  <si>
    <t>V-218 Ct.: +1,25 (27 ø 6.3mm c/15 c=104)</t>
  </si>
  <si>
    <t>V-219 Ct.: +1,25 (27 ø 6.3mm c/15 c=104)</t>
  </si>
  <si>
    <t>V-301 Ct.: +2,53 (32 ø 6.3mm c/15 c=108)</t>
  </si>
  <si>
    <t>V-302 Ct.: +2,92 (32 ø 6.3mm c/15 c=108)</t>
  </si>
  <si>
    <t>V-303 Ct.: +3,32 (32 ø 6.3mm c/15 c=108)</t>
  </si>
  <si>
    <t>A06 a B06</t>
  </si>
  <si>
    <t>B06 a C06</t>
  </si>
  <si>
    <t>C06 a D06</t>
  </si>
  <si>
    <t>D06 a E06</t>
  </si>
  <si>
    <t>E06 a F06</t>
  </si>
  <si>
    <t>A03 a A04</t>
  </si>
  <si>
    <t>A04 a A05</t>
  </si>
  <si>
    <t>C01 a D01</t>
  </si>
  <si>
    <t>D01 a E01</t>
  </si>
  <si>
    <t>E01 a F01</t>
  </si>
  <si>
    <t>Muro A06 a F06</t>
  </si>
  <si>
    <t>Muro A06 a F06 - 115 N01 ∅8.0 C=177</t>
  </si>
  <si>
    <t>Muro A03 a A05 - 39 N01 ∅8.0 C=177</t>
  </si>
  <si>
    <t>Muro C01 a D01 - 23 N01 ∅8.0 C=180</t>
  </si>
  <si>
    <t>Muro D01 a E01 - 23 N02 ∅8.0 C=219</t>
  </si>
  <si>
    <t>Muro E01 a F01 - 23 N03 ∅8.0 C=258</t>
  </si>
  <si>
    <t>Muro A05 a F05</t>
  </si>
  <si>
    <t>DESC.</t>
  </si>
  <si>
    <t>Muro A01 a A05</t>
  </si>
  <si>
    <t>Muro A01 a F01</t>
  </si>
  <si>
    <t>Muro Existente F01 a F05</t>
  </si>
  <si>
    <t>Área da escada</t>
  </si>
  <si>
    <r>
      <t>Área da grama sintética = (A</t>
    </r>
    <r>
      <rPr>
        <i/>
        <sz val="10"/>
        <rFont val="Cambria"/>
        <family val="1"/>
      </rPr>
      <t xml:space="preserve">playground </t>
    </r>
    <r>
      <rPr>
        <sz val="10"/>
        <rFont val="Cambria"/>
        <family val="1"/>
      </rPr>
      <t>- Acanteiros - Abrinquedos) - Projeto Arq. Prancha 3/7</t>
    </r>
  </si>
  <si>
    <r>
      <t>Área do piso emborrachado = (A</t>
    </r>
    <r>
      <rPr>
        <i/>
        <sz val="10"/>
        <rFont val="Cambria"/>
        <family val="1"/>
      </rPr>
      <t>playground</t>
    </r>
    <r>
      <rPr>
        <sz val="10"/>
        <rFont val="Cambria"/>
        <family val="1"/>
      </rPr>
      <t xml:space="preserve"> - Agrama - Acanteiros) - Projeto Arq. Prancha 3/7</t>
    </r>
  </si>
  <si>
    <t>Projeto de Drenagem - Prancha 01/01</t>
  </si>
  <si>
    <t>Projeto de Drenagem - Prancha 1/1</t>
  </si>
  <si>
    <t>Área de instalação do tubo dreno</t>
  </si>
  <si>
    <t>Detalhe Hidrossanitário - Projeto de Drenagem</t>
  </si>
  <si>
    <t>Poste playground - 4 pétalas</t>
  </si>
  <si>
    <t>Postes circulação - 2 pétalas</t>
  </si>
  <si>
    <t>Padrão de entrada d' água com cavalete de PVC para hidrômetro com diâmetro de 3/4" - padrão 1C da CESAN. Instalado em vão de muro protegido com gradeamento. Inclusive base de concreto magro, tubulação, conexões e registro.</t>
  </si>
  <si>
    <t>Poste playground - 4 pétalas (01 Poste)</t>
  </si>
  <si>
    <t>Postes Campo de areia - refletores</t>
  </si>
  <si>
    <t>Postes campo de areia - (4 postes c/ 3 refletores cada)</t>
  </si>
  <si>
    <t>COMPOSIÇÃO 14</t>
  </si>
  <si>
    <t>Postes circulação - 2 pétalas (03 postes)</t>
  </si>
  <si>
    <t>Poste playground - (01 poste)</t>
  </si>
  <si>
    <t>Postes circulação - (03 postes)</t>
  </si>
  <si>
    <t>Calçada - Playground</t>
  </si>
  <si>
    <t>Circulação e Calçadas - Campo de areia</t>
  </si>
  <si>
    <t>7.5</t>
  </si>
  <si>
    <t>Calçada - Playground (Ladrilho hidraulico)</t>
  </si>
  <si>
    <t>Circulação e Calçadas - Campo de areia (Ladrilho hidraulico)</t>
  </si>
  <si>
    <t>Calçada - Playground (Área do Ladrilho hidraulico)</t>
  </si>
  <si>
    <t>Circulação e Calçadas - Campo de areia (Área do Ladrilho hidraulico)</t>
  </si>
  <si>
    <t>Rampas</t>
  </si>
  <si>
    <t>Projeto Arquitetônico - Prancha 01/07 (Playground)</t>
  </si>
  <si>
    <t>Projeto Arquitetônico - Prancha 05/07 (Circulação)</t>
  </si>
  <si>
    <t>Projeto Arquitetônico - Prancha 05/07 e 06/07 (Escada/Circulação)</t>
  </si>
  <si>
    <t>Área total</t>
  </si>
  <si>
    <t>fevereiro de 2020</t>
  </si>
  <si>
    <t>IOPES/DER-ES: 157,27%</t>
  </si>
  <si>
    <t>SINAPI: 85,00%(HORA) 48,02%(MÊS)</t>
  </si>
  <si>
    <r>
      <t>OBRA:</t>
    </r>
    <r>
      <rPr>
        <sz val="10"/>
        <rFont val="Cambria"/>
        <family val="1"/>
      </rPr>
      <t xml:space="preserve"> Construção de área recreativa - </t>
    </r>
    <r>
      <rPr>
        <i/>
        <sz val="10"/>
        <rFont val="Cambria"/>
        <family val="1"/>
      </rPr>
      <t>playground</t>
    </r>
  </si>
  <si>
    <r>
      <t xml:space="preserve">ORÇAMENTISTAS: </t>
    </r>
    <r>
      <rPr>
        <sz val="10"/>
        <rFont val="Cambria"/>
        <family val="1"/>
      </rPr>
      <t>Eng.ª Civil CATARINA DEMONER DINIZ - CREA: ES-0048118/D</t>
    </r>
  </si>
  <si>
    <r>
      <t xml:space="preserve">Fornecimento e instalação de grama sintética para </t>
    </r>
    <r>
      <rPr>
        <b/>
        <i/>
        <sz val="10"/>
        <rFont val="Cambria"/>
        <family val="1"/>
      </rPr>
      <t>playgrounds</t>
    </r>
    <r>
      <rPr>
        <b/>
        <sz val="10"/>
        <rFont val="Cambria"/>
        <family val="1"/>
      </rPr>
      <t xml:space="preserve">, esp. 12 mm, inclusive aplicação com cola de contato </t>
    </r>
  </si>
  <si>
    <r>
      <t xml:space="preserve">Grama sintética para </t>
    </r>
    <r>
      <rPr>
        <i/>
        <sz val="10"/>
        <rFont val="Cambria"/>
        <family val="1"/>
      </rPr>
      <t>playgrounds</t>
    </r>
    <r>
      <rPr>
        <sz val="10"/>
        <rFont val="Cambria"/>
        <family val="1"/>
      </rPr>
      <t>, 12 mm, com acabamento em polietileno</t>
    </r>
  </si>
  <si>
    <r>
      <t xml:space="preserve">Fornecimento e instalação de piso emborrachado para </t>
    </r>
    <r>
      <rPr>
        <b/>
        <i/>
        <sz val="10"/>
        <rFont val="Cambria"/>
        <family val="1"/>
      </rPr>
      <t>playgrounds</t>
    </r>
    <r>
      <rPr>
        <b/>
        <sz val="10"/>
        <rFont val="Cambria"/>
        <family val="1"/>
      </rPr>
      <t>, esp. 40 mm, inclusive aplicação com cola poliuretano monocomponente</t>
    </r>
  </si>
  <si>
    <r>
      <t xml:space="preserve">Piso emborrachado para </t>
    </r>
    <r>
      <rPr>
        <i/>
        <sz val="10"/>
        <rFont val="Cambria"/>
        <family val="1"/>
      </rPr>
      <t>playground</t>
    </r>
    <r>
      <rPr>
        <sz val="10"/>
        <rFont val="Cambria"/>
        <family val="1"/>
      </rPr>
      <t>, com placa de 100x100 cm e 40 mm de espessura</t>
    </r>
  </si>
  <si>
    <r>
      <t xml:space="preserve">OBRA: </t>
    </r>
    <r>
      <rPr>
        <sz val="10"/>
        <rFont val="Cambria"/>
        <family val="1"/>
      </rPr>
      <t>Construção de área recreativa para crianças</t>
    </r>
  </si>
  <si>
    <r>
      <t>LOCAL:</t>
    </r>
    <r>
      <rPr>
        <sz val="10"/>
        <rFont val="Cambria"/>
        <family val="1"/>
      </rPr>
      <t xml:space="preserve"> Itaraninha, Itarana, Espírito Santo.</t>
    </r>
  </si>
  <si>
    <r>
      <t>ORÇAMENTISTAS:</t>
    </r>
    <r>
      <rPr>
        <sz val="10"/>
        <rFont val="Cambria"/>
        <family val="1"/>
      </rPr>
      <t xml:space="preserve"> Eng.ª Civil CATARINA DEMONER DINIZ - CREA: ES-0048118/D</t>
    </r>
  </si>
  <si>
    <r>
      <t xml:space="preserve">LOCAL: </t>
    </r>
    <r>
      <rPr>
        <sz val="10"/>
        <rFont val="Cambria"/>
        <family val="1"/>
      </rPr>
      <t>Itaraninha, Itarana, Espírito Santo</t>
    </r>
  </si>
  <si>
    <r>
      <t>ORÇAMENTISTAS:</t>
    </r>
    <r>
      <rPr>
        <sz val="10"/>
        <rFont val="Cambria"/>
        <family val="1"/>
      </rPr>
      <t xml:space="preserve"> </t>
    </r>
  </si>
  <si>
    <r>
      <t>Administração Central -</t>
    </r>
    <r>
      <rPr>
        <b/>
        <sz val="10"/>
        <rFont val="Cambria"/>
        <family val="1"/>
      </rPr>
      <t xml:space="preserve"> AC</t>
    </r>
  </si>
  <si>
    <r>
      <t>Riscos -</t>
    </r>
    <r>
      <rPr>
        <b/>
        <sz val="10"/>
        <rFont val="Cambria"/>
        <family val="1"/>
      </rPr>
      <t xml:space="preserve"> R</t>
    </r>
  </si>
  <si>
    <r>
      <t>Seguros e Garantias Contratuais -</t>
    </r>
    <r>
      <rPr>
        <b/>
        <sz val="10"/>
        <rFont val="Cambria"/>
        <family val="1"/>
      </rPr>
      <t xml:space="preserve"> S+G</t>
    </r>
  </si>
  <si>
    <r>
      <t xml:space="preserve">Despesas e Encargos Financeiros - </t>
    </r>
    <r>
      <rPr>
        <b/>
        <sz val="10"/>
        <rFont val="Cambria"/>
        <family val="1"/>
      </rPr>
      <t>DF</t>
    </r>
  </si>
  <si>
    <r>
      <t>Lucro -</t>
    </r>
    <r>
      <rPr>
        <b/>
        <sz val="10"/>
        <rFont val="Cambria"/>
        <family val="1"/>
      </rPr>
      <t xml:space="preserve"> L</t>
    </r>
  </si>
  <si>
    <r>
      <t xml:space="preserve">BDI=    </t>
    </r>
    <r>
      <rPr>
        <u/>
        <sz val="10"/>
        <rFont val="Cambria"/>
        <family val="1"/>
      </rPr>
      <t>(1+(AC+S+R+G))(1+DF)(1+L))</t>
    </r>
    <r>
      <rPr>
        <sz val="10"/>
        <rFont val="Cambria"/>
        <family val="1"/>
      </rPr>
      <t xml:space="preserve">  -1 =</t>
    </r>
  </si>
  <si>
    <r>
      <rPr>
        <b/>
        <sz val="10"/>
        <color indexed="8"/>
        <rFont val="Cambria"/>
        <family val="1"/>
      </rPr>
      <t>ORÇAMENTISTA:</t>
    </r>
    <r>
      <rPr>
        <sz val="10"/>
        <color indexed="8"/>
        <rFont val="Cambria"/>
        <family val="1"/>
      </rPr>
      <t xml:space="preserve">   CATARINA DEMONER DINIZ - CREA: ES-0048118/D</t>
    </r>
  </si>
  <si>
    <r>
      <rPr>
        <b/>
        <sz val="10"/>
        <color indexed="8"/>
        <rFont val="Cambria"/>
        <family val="1"/>
      </rPr>
      <t>SERVIÇO:</t>
    </r>
    <r>
      <rPr>
        <sz val="10"/>
        <color indexed="8"/>
        <rFont val="Cambria"/>
        <family val="1"/>
      </rPr>
      <t xml:space="preserve"> Grama sintética decorativa para playgorunds, 12 mm, fibrilada. </t>
    </r>
  </si>
  <si>
    <r>
      <rPr>
        <b/>
        <sz val="10"/>
        <rFont val="Cambria"/>
        <family val="1"/>
      </rPr>
      <t>SERVIÇO:</t>
    </r>
    <r>
      <rPr>
        <sz val="10"/>
        <rFont val="Cambria"/>
        <family val="1"/>
      </rPr>
      <t xml:space="preserve"> Gangorra de ferro, com 03 pranchas, confeccionada em tubo a vapor e pintura esmalte sintético</t>
    </r>
  </si>
  <si>
    <r>
      <rPr>
        <b/>
        <sz val="10"/>
        <color indexed="8"/>
        <rFont val="Cambria"/>
        <family val="1"/>
      </rPr>
      <t>SERVIÇO:</t>
    </r>
    <r>
      <rPr>
        <sz val="10"/>
        <color indexed="8"/>
        <rFont val="Cambria"/>
        <family val="1"/>
      </rPr>
      <t xml:space="preserve"> Escorregador de ferro, com 2 m de comprimentro e altura, confeccionado em tubo a vapor e pintura esmalte sintético</t>
    </r>
  </si>
  <si>
    <r>
      <rPr>
        <b/>
        <sz val="10"/>
        <color indexed="8"/>
        <rFont val="Cambria"/>
        <family val="1"/>
      </rPr>
      <t>SERVIÇO:</t>
    </r>
    <r>
      <rPr>
        <sz val="10"/>
        <color indexed="8"/>
        <rFont val="Cambria"/>
        <family val="1"/>
      </rPr>
      <t xml:space="preserve"> Balanço de ferro, com 2 lugares, confecionado em tubo a vapor e pintura esmalte sintético</t>
    </r>
  </si>
  <si>
    <r>
      <rPr>
        <b/>
        <sz val="10"/>
        <color indexed="8"/>
        <rFont val="Cambria"/>
        <family val="1"/>
      </rPr>
      <t>SERVIÇO:</t>
    </r>
    <r>
      <rPr>
        <sz val="10"/>
        <color indexed="8"/>
        <rFont val="Cambria"/>
        <family val="1"/>
      </rPr>
      <t xml:space="preserve"> Gira-Gira (carrocel) de ferro, com 8 lugares, confecionado em tubo a vapor e pintura esmalte sintético</t>
    </r>
  </si>
  <si>
    <r>
      <rPr>
        <b/>
        <sz val="10"/>
        <color indexed="8"/>
        <rFont val="Cambria"/>
        <family val="1"/>
      </rPr>
      <t>SERVIÇO:</t>
    </r>
    <r>
      <rPr>
        <sz val="10"/>
        <color indexed="8"/>
        <rFont val="Cambria"/>
        <family val="1"/>
      </rPr>
      <t xml:space="preserve"> Cestão com escada de madeira e escalada de corda, 2,80x1,50 m,  madeira com acabamento em Stain Triplo Filtro Solar.</t>
    </r>
  </si>
  <si>
    <r>
      <rPr>
        <b/>
        <sz val="10"/>
        <color indexed="8"/>
        <rFont val="Cambria"/>
        <family val="1"/>
      </rPr>
      <t>SERVIÇO:</t>
    </r>
    <r>
      <rPr>
        <sz val="10"/>
        <color indexed="8"/>
        <rFont val="Cambria"/>
        <family val="1"/>
      </rPr>
      <t xml:space="preserve"> Lixeira papeleira de 50 L, com poste, fabricada em PEAD ou PP, rResistente ao impacto e aos raios UV. 
</t>
    </r>
  </si>
  <si>
    <r>
      <rPr>
        <b/>
        <sz val="10"/>
        <color indexed="8"/>
        <rFont val="Cambria"/>
        <family val="1"/>
      </rPr>
      <t>SERVIÇO:</t>
    </r>
    <r>
      <rPr>
        <sz val="10"/>
        <color indexed="8"/>
        <rFont val="Cambria"/>
        <family val="1"/>
      </rPr>
      <t xml:space="preserve"> Piso emborrachado drenante, composto por grânulos de pneus, 40 mm de espessura e placas de 100x100 cm.  </t>
    </r>
  </si>
  <si>
    <r>
      <rPr>
        <b/>
        <sz val="10"/>
        <color indexed="8"/>
        <rFont val="Cambria"/>
        <family val="1"/>
      </rPr>
      <t>SERVIÇO:</t>
    </r>
    <r>
      <rPr>
        <sz val="10"/>
        <color indexed="8"/>
        <rFont val="Cambria"/>
        <family val="1"/>
      </rPr>
      <t xml:space="preserve"> Luminárias de LED, com 150 W e montagem em SMD, IP66, 18000 lúmens, temperatura de cor em 5000 K</t>
    </r>
  </si>
  <si>
    <r>
      <rPr>
        <b/>
        <sz val="10"/>
        <color indexed="8"/>
        <rFont val="Cambria"/>
        <family val="1"/>
      </rPr>
      <t>SERVIÇO:</t>
    </r>
    <r>
      <rPr>
        <sz val="10"/>
        <color indexed="8"/>
        <rFont val="Cambria"/>
        <family val="1"/>
      </rPr>
      <t xml:space="preserve"> Suporte para fixação de 4 pétalas, diâmetro externo de 48,3 mm a 60,3 mm. </t>
    </r>
  </si>
  <si>
    <r>
      <rPr>
        <b/>
        <sz val="10"/>
        <color indexed="8"/>
        <rFont val="Cambria"/>
        <family val="1"/>
      </rPr>
      <t>SERVIÇO:</t>
    </r>
    <r>
      <rPr>
        <sz val="10"/>
        <color indexed="8"/>
        <rFont val="Cambria"/>
        <family val="1"/>
      </rPr>
      <t xml:space="preserve"> Suporte para fixação de 2 pétalas, diâmetro externo de 48,3 mm a 60,3 mm. </t>
    </r>
  </si>
  <si>
    <r>
      <rPr>
        <b/>
        <sz val="10"/>
        <color indexed="8"/>
        <rFont val="Cambria"/>
        <family val="1"/>
      </rPr>
      <t>SERVIÇO:</t>
    </r>
    <r>
      <rPr>
        <sz val="10"/>
        <color indexed="8"/>
        <rFont val="Cambria"/>
        <family val="1"/>
      </rPr>
      <t xml:space="preserve"> Refletor LED, com 200 W e montagem em SMD, IP67, temperatura 6500K, 65L/W, luz branca</t>
    </r>
  </si>
  <si>
    <t>Servente de obras</t>
  </si>
  <si>
    <t>00006111</t>
  </si>
  <si>
    <t>00025964</t>
  </si>
  <si>
    <t>00004791</t>
  </si>
  <si>
    <t>Retirada e Recolocação de placa de sinalização de trânsito (lombada)</t>
  </si>
  <si>
    <t>Arame recozido 16 BWG, d = 1,60 mm (0,016 kg/m) ou 18 BWG, d = 1,25 mm (0,01 kg/m)</t>
  </si>
  <si>
    <t>00043132</t>
  </si>
  <si>
    <t>00001346</t>
  </si>
  <si>
    <t>00005075</t>
  </si>
  <si>
    <t>00006189</t>
  </si>
  <si>
    <t>00010567</t>
  </si>
  <si>
    <t>00004750</t>
  </si>
  <si>
    <t>00006127</t>
  </si>
  <si>
    <t>00000142</t>
  </si>
  <si>
    <t>00006121</t>
  </si>
  <si>
    <t>00025957</t>
  </si>
  <si>
    <t>00002696</t>
  </si>
  <si>
    <t>00000246</t>
  </si>
  <si>
    <t>COMPOSIÇÃO 05</t>
  </si>
  <si>
    <t>COMPOSIÇÃO 07</t>
  </si>
  <si>
    <t>00000367</t>
  </si>
  <si>
    <t>00000366</t>
  </si>
  <si>
    <t>COMPOSIÇÃO 08</t>
  </si>
  <si>
    <t>00042440</t>
  </si>
  <si>
    <t>Itarana, 14 de maio de 2020</t>
  </si>
  <si>
    <t>Tubo dreno, corrugado, espiralado, flexivel, perfurado, em polietileno de alta densidade (PEAD), dn *200* mm, (8") para drenagem - em barra (Norma DNIT 093/2006 - EM)</t>
  </si>
  <si>
    <t>00038054</t>
  </si>
  <si>
    <t>Tubo dreno, corrugado, espiralado, flexivel, perfurado, em polietileno de alta densidade (PEAD), dn *200* mm, (8") para drenagem - em barra (Norma DNIT 093/2006 - EM), inclusive conexões - fornecimento e instalação</t>
  </si>
  <si>
    <t>Tubo PVC rígido para esgoto no diâmetro de 200mm incluindo escavação e aterro com areia</t>
  </si>
  <si>
    <t>00042686</t>
  </si>
  <si>
    <t>CAP, PVC, JE, OCRE, DN 200 mm (Conexão para tubo coletor de esgoto)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</si>
</sst>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164" formatCode="_(* #,##0.00_);_(* \(#,##0.00\);_(* &quot;-&quot;??_);_(@_)"/>
    <numFmt numFmtId="165" formatCode="[$-416]mmmm\-yy;@"/>
    <numFmt numFmtId="166" formatCode="0.0000"/>
    <numFmt numFmtId="167" formatCode="#,##0.00_ ;\-#,##0.00\ "/>
    <numFmt numFmtId="168" formatCode="&quot;R$&quot;\ #,##0.00"/>
    <numFmt numFmtId="169" formatCode="0.000"/>
    <numFmt numFmtId="170" formatCode="0.0%"/>
    <numFmt numFmtId="171" formatCode="#,##0.000"/>
    <numFmt numFmtId="172" formatCode="#,##0.0000"/>
  </numFmts>
  <fonts count="30" x14ac:knownFonts="1">
    <font>
      <sz val="11"/>
      <color theme="1"/>
      <name val="Calibri"/>
      <family val="2"/>
      <scheme val="minor"/>
    </font>
    <font>
      <sz val="10"/>
      <name val="Arial"/>
    </font>
    <font>
      <sz val="11"/>
      <name val="Arial"/>
      <family val="2"/>
    </font>
    <font>
      <sz val="10"/>
      <name val="Arial"/>
      <family val="2"/>
    </font>
    <font>
      <sz val="8"/>
      <name val="Calibri"/>
      <family val="2"/>
      <scheme val="minor"/>
    </font>
    <font>
      <sz val="11"/>
      <color theme="1"/>
      <name val="Calibri"/>
      <family val="2"/>
      <scheme val="minor"/>
    </font>
    <font>
      <sz val="11"/>
      <color indexed="8"/>
      <name val="Calibri"/>
      <family val="2"/>
    </font>
    <font>
      <sz val="9"/>
      <color indexed="81"/>
      <name val="Segoe UI"/>
      <family val="2"/>
    </font>
    <font>
      <b/>
      <sz val="9"/>
      <color indexed="81"/>
      <name val="Tahoma"/>
      <family val="2"/>
    </font>
    <font>
      <sz val="9"/>
      <color indexed="81"/>
      <name val="Tahoma"/>
      <family val="2"/>
    </font>
    <font>
      <sz val="10"/>
      <color indexed="81"/>
      <name val="Tahoma"/>
      <family val="2"/>
    </font>
    <font>
      <b/>
      <sz val="10"/>
      <color indexed="81"/>
      <name val="Tahoma"/>
      <family val="2"/>
    </font>
    <font>
      <u/>
      <sz val="10"/>
      <color theme="10"/>
      <name val="Arial"/>
      <family val="2"/>
    </font>
    <font>
      <b/>
      <sz val="11"/>
      <color rgb="FFFF0000"/>
      <name val="Cambria"/>
      <family val="1"/>
    </font>
    <font>
      <sz val="10"/>
      <color theme="1"/>
      <name val="Cambria"/>
      <family val="1"/>
    </font>
    <font>
      <b/>
      <sz val="10"/>
      <name val="Cambria"/>
      <family val="1"/>
    </font>
    <font>
      <sz val="10"/>
      <name val="Cambria"/>
      <family val="1"/>
    </font>
    <font>
      <b/>
      <sz val="10"/>
      <color rgb="FFFF0000"/>
      <name val="Cambria"/>
      <family val="1"/>
    </font>
    <font>
      <i/>
      <sz val="10"/>
      <name val="Cambria"/>
      <family val="1"/>
    </font>
    <font>
      <b/>
      <sz val="10"/>
      <color theme="1"/>
      <name val="Cambria"/>
      <family val="1"/>
    </font>
    <font>
      <i/>
      <sz val="10"/>
      <color theme="1"/>
      <name val="Cambria"/>
      <family val="1"/>
    </font>
    <font>
      <sz val="10"/>
      <color rgb="FFFF0000"/>
      <name val="Cambria"/>
      <family val="1"/>
    </font>
    <font>
      <sz val="10"/>
      <color theme="1"/>
      <name val="Calibri"/>
      <family val="2"/>
    </font>
    <font>
      <b/>
      <i/>
      <sz val="10"/>
      <name val="Cambria"/>
      <family val="1"/>
    </font>
    <font>
      <b/>
      <sz val="10"/>
      <color indexed="8"/>
      <name val="Cambria"/>
      <family val="1"/>
    </font>
    <font>
      <sz val="10"/>
      <color indexed="8"/>
      <name val="Cambria"/>
      <family val="1"/>
    </font>
    <font>
      <u/>
      <sz val="10"/>
      <name val="Cambria"/>
      <family val="1"/>
    </font>
    <font>
      <b/>
      <sz val="10"/>
      <color indexed="10"/>
      <name val="Cambria"/>
      <family val="1"/>
    </font>
    <font>
      <b/>
      <sz val="11"/>
      <color indexed="8"/>
      <name val="Cambria"/>
      <family val="1"/>
    </font>
    <font>
      <b/>
      <sz val="11"/>
      <name val="Cambria"/>
      <family val="1"/>
    </font>
  </fonts>
  <fills count="12">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F2F2F2"/>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indexed="26"/>
        <bgColor indexed="64"/>
      </patternFill>
    </fill>
    <fill>
      <patternFill patternType="solid">
        <fgColor indexed="55"/>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3">
    <xf numFmtId="0" fontId="0" fillId="0" borderId="0"/>
    <xf numFmtId="0" fontId="1" fillId="0" borderId="0"/>
    <xf numFmtId="44" fontId="3" fillId="0" borderId="0" applyFont="0" applyFill="0" applyBorder="0" applyAlignment="0" applyProtection="0"/>
    <xf numFmtId="164" fontId="3" fillId="0" borderId="0" applyFont="0" applyFill="0" applyBorder="0" applyAlignment="0" applyProtection="0"/>
    <xf numFmtId="0" fontId="3" fillId="0" borderId="0"/>
    <xf numFmtId="0" fontId="5" fillId="0" borderId="0"/>
    <xf numFmtId="0" fontId="3" fillId="0" borderId="0"/>
    <xf numFmtId="9" fontId="6" fillId="0" borderId="0" applyFont="0" applyFill="0" applyBorder="0" applyAlignment="0" applyProtection="0"/>
    <xf numFmtId="9" fontId="3" fillId="0" borderId="0" applyFont="0" applyFill="0" applyBorder="0" applyAlignment="0" applyProtection="0"/>
    <xf numFmtId="0" fontId="5" fillId="0" borderId="0"/>
    <xf numFmtId="0" fontId="12" fillId="0" borderId="0" applyNumberFormat="0" applyFill="0" applyBorder="0" applyAlignment="0" applyProtection="0"/>
    <xf numFmtId="9" fontId="5" fillId="0" borderId="0" applyFont="0" applyFill="0" applyBorder="0" applyAlignment="0" applyProtection="0"/>
    <xf numFmtId="44" fontId="5" fillId="0" borderId="0" applyFont="0" applyFill="0" applyBorder="0" applyAlignment="0" applyProtection="0"/>
  </cellStyleXfs>
  <cellXfs count="534">
    <xf numFmtId="0" fontId="0" fillId="0" borderId="0" xfId="0"/>
    <xf numFmtId="4" fontId="14" fillId="0" borderId="0" xfId="1" applyNumberFormat="1" applyFont="1" applyAlignment="1">
      <alignment horizontal="center" vertical="center"/>
    </xf>
    <xf numFmtId="4" fontId="15" fillId="0" borderId="0" xfId="1" applyNumberFormat="1" applyFont="1" applyAlignment="1">
      <alignment horizontal="center" vertical="center"/>
    </xf>
    <xf numFmtId="4" fontId="16" fillId="0" borderId="0" xfId="1" applyNumberFormat="1" applyFont="1" applyAlignment="1">
      <alignment horizontal="center" vertical="center"/>
    </xf>
    <xf numFmtId="4" fontId="16" fillId="0" borderId="4" xfId="1" applyNumberFormat="1" applyFont="1" applyBorder="1" applyAlignment="1">
      <alignment horizontal="center" vertical="center"/>
    </xf>
    <xf numFmtId="4" fontId="16" fillId="0" borderId="0" xfId="1" applyNumberFormat="1" applyFont="1" applyAlignment="1">
      <alignment horizontal="center" vertical="center" wrapText="1"/>
    </xf>
    <xf numFmtId="0" fontId="15" fillId="2" borderId="0" xfId="1" applyFont="1" applyFill="1" applyAlignment="1">
      <alignment horizontal="center" vertical="center"/>
    </xf>
    <xf numFmtId="4" fontId="14" fillId="2" borderId="0" xfId="1" applyNumberFormat="1" applyFont="1" applyFill="1" applyAlignment="1">
      <alignment horizontal="center" vertical="center"/>
    </xf>
    <xf numFmtId="0" fontId="15" fillId="2" borderId="0" xfId="1" applyFont="1" applyFill="1" applyAlignment="1">
      <alignment vertical="center"/>
    </xf>
    <xf numFmtId="0" fontId="16" fillId="2" borderId="0" xfId="1" applyFont="1" applyFill="1" applyAlignment="1">
      <alignment vertical="center"/>
    </xf>
    <xf numFmtId="0" fontId="15" fillId="2" borderId="0" xfId="1" applyFont="1" applyFill="1" applyAlignment="1">
      <alignment horizontal="left" vertical="center"/>
    </xf>
    <xf numFmtId="2" fontId="15" fillId="2" borderId="1" xfId="1" applyNumberFormat="1" applyFont="1" applyFill="1" applyBorder="1" applyAlignment="1">
      <alignment horizontal="left" vertical="center"/>
    </xf>
    <xf numFmtId="2" fontId="16" fillId="2" borderId="1" xfId="1" applyNumberFormat="1" applyFont="1" applyFill="1" applyBorder="1" applyAlignment="1">
      <alignment horizontal="left" vertical="center"/>
    </xf>
    <xf numFmtId="165" fontId="16" fillId="2" borderId="0" xfId="3" applyNumberFormat="1" applyFont="1" applyFill="1" applyBorder="1" applyAlignment="1">
      <alignment horizontal="left" vertical="center"/>
    </xf>
    <xf numFmtId="44" fontId="15" fillId="3" borderId="2" xfId="2" applyFont="1" applyFill="1" applyBorder="1" applyAlignment="1">
      <alignment horizontal="center" vertical="center"/>
    </xf>
    <xf numFmtId="164" fontId="15" fillId="3" borderId="2" xfId="3" applyFont="1" applyFill="1" applyBorder="1" applyAlignment="1">
      <alignment horizontal="center" vertical="center"/>
    </xf>
    <xf numFmtId="0" fontId="15" fillId="4" borderId="3" xfId="1" quotePrefix="1" applyFont="1" applyFill="1" applyBorder="1" applyAlignment="1">
      <alignment horizontal="center" vertical="center"/>
    </xf>
    <xf numFmtId="0" fontId="15" fillId="4" borderId="4" xfId="1" applyFont="1" applyFill="1" applyBorder="1" applyAlignment="1">
      <alignment horizontal="center" vertical="center"/>
    </xf>
    <xf numFmtId="0" fontId="15" fillId="4" borderId="4" xfId="1" applyFont="1" applyFill="1" applyBorder="1" applyAlignment="1">
      <alignment horizontal="left" vertical="center" wrapText="1"/>
    </xf>
    <xf numFmtId="44" fontId="15" fillId="4" borderId="4" xfId="2" applyFont="1" applyFill="1" applyBorder="1" applyAlignment="1">
      <alignment horizontal="center" vertical="center"/>
    </xf>
    <xf numFmtId="164" fontId="15" fillId="4" borderId="5" xfId="3" applyFont="1" applyFill="1" applyBorder="1" applyAlignment="1">
      <alignment horizontal="center" vertical="center"/>
    </xf>
    <xf numFmtId="0" fontId="16" fillId="2" borderId="2" xfId="1" quotePrefix="1" applyFont="1" applyFill="1" applyBorder="1" applyAlignment="1">
      <alignment horizontal="center" vertical="center"/>
    </xf>
    <xf numFmtId="0" fontId="16" fillId="0" borderId="2" xfId="1" quotePrefix="1" applyFont="1" applyBorder="1" applyAlignment="1">
      <alignment horizontal="center" vertical="center"/>
    </xf>
    <xf numFmtId="0" fontId="16" fillId="2" borderId="2" xfId="1" applyFont="1" applyFill="1" applyBorder="1" applyAlignment="1">
      <alignment horizontal="center" vertical="center"/>
    </xf>
    <xf numFmtId="0" fontId="16" fillId="0" borderId="2" xfId="1" applyFont="1" applyBorder="1" applyAlignment="1">
      <alignment horizontal="left" vertical="center" wrapText="1"/>
    </xf>
    <xf numFmtId="4" fontId="16" fillId="2" borderId="2" xfId="1" applyNumberFormat="1" applyFont="1" applyFill="1" applyBorder="1" applyAlignment="1">
      <alignment horizontal="center" vertical="center"/>
    </xf>
    <xf numFmtId="44" fontId="16" fillId="0" borderId="6" xfId="2" applyFont="1" applyFill="1" applyBorder="1" applyAlignment="1">
      <alignment horizontal="right" vertical="center" indent="1"/>
    </xf>
    <xf numFmtId="4" fontId="16" fillId="0" borderId="2" xfId="1" applyNumberFormat="1" applyFont="1" applyBorder="1" applyAlignment="1">
      <alignment horizontal="center" vertical="center"/>
    </xf>
    <xf numFmtId="49" fontId="16" fillId="0" borderId="2" xfId="1" applyNumberFormat="1" applyFont="1" applyBorder="1" applyAlignment="1">
      <alignment horizontal="center" vertical="center"/>
    </xf>
    <xf numFmtId="0" fontId="16" fillId="0" borderId="2" xfId="1" applyFont="1" applyBorder="1" applyAlignment="1">
      <alignment horizontal="center" vertical="center"/>
    </xf>
    <xf numFmtId="0" fontId="14" fillId="0" borderId="2" xfId="1" applyFont="1" applyBorder="1" applyAlignment="1">
      <alignment horizontal="left" vertical="center" wrapText="1"/>
    </xf>
    <xf numFmtId="49" fontId="16" fillId="2" borderId="2" xfId="1" applyNumberFormat="1" applyFont="1" applyFill="1" applyBorder="1" applyAlignment="1">
      <alignment horizontal="center" vertical="center"/>
    </xf>
    <xf numFmtId="0" fontId="14" fillId="2" borderId="2" xfId="1" applyFont="1" applyFill="1" applyBorder="1" applyAlignment="1">
      <alignment horizontal="left" vertical="center" wrapText="1"/>
    </xf>
    <xf numFmtId="0" fontId="16" fillId="0" borderId="2" xfId="1" applyFont="1" applyBorder="1" applyAlignment="1">
      <alignment horizontal="center" vertical="center" wrapText="1"/>
    </xf>
    <xf numFmtId="49" fontId="16" fillId="0" borderId="2" xfId="1" quotePrefix="1" applyNumberFormat="1" applyFont="1" applyBorder="1" applyAlignment="1">
      <alignment horizontal="center" vertical="center"/>
    </xf>
    <xf numFmtId="0" fontId="16" fillId="0" borderId="0" xfId="1" applyFont="1" applyAlignment="1">
      <alignment horizontal="center" vertical="center"/>
    </xf>
    <xf numFmtId="0" fontId="16" fillId="0" borderId="2" xfId="1" applyFont="1" applyBorder="1" applyAlignment="1">
      <alignment vertical="top" wrapText="1"/>
    </xf>
    <xf numFmtId="0" fontId="16" fillId="0" borderId="3" xfId="1" applyFont="1" applyBorder="1" applyAlignment="1">
      <alignment vertical="top" wrapText="1"/>
    </xf>
    <xf numFmtId="44" fontId="15" fillId="0" borderId="2" xfId="2" applyFont="1" applyFill="1" applyBorder="1" applyAlignment="1">
      <alignment horizontal="right" vertical="center" indent="1"/>
    </xf>
    <xf numFmtId="0" fontId="15" fillId="5" borderId="3" xfId="1" quotePrefix="1" applyFont="1" applyFill="1" applyBorder="1" applyAlignment="1">
      <alignment horizontal="center" vertical="center"/>
    </xf>
    <xf numFmtId="0" fontId="15" fillId="5" borderId="4" xfId="1" applyFont="1" applyFill="1" applyBorder="1" applyAlignment="1">
      <alignment horizontal="center" vertical="center"/>
    </xf>
    <xf numFmtId="0" fontId="15" fillId="5" borderId="4" xfId="1" applyFont="1" applyFill="1" applyBorder="1" applyAlignment="1">
      <alignment horizontal="left" vertical="center" wrapText="1"/>
    </xf>
    <xf numFmtId="44" fontId="15" fillId="5" borderId="4" xfId="2" applyFont="1" applyFill="1" applyBorder="1" applyAlignment="1">
      <alignment horizontal="center" vertical="center"/>
    </xf>
    <xf numFmtId="164" fontId="15" fillId="5" borderId="5" xfId="3" applyFont="1" applyFill="1" applyBorder="1" applyAlignment="1">
      <alignment horizontal="center" vertical="center"/>
    </xf>
    <xf numFmtId="2" fontId="16" fillId="2" borderId="2" xfId="1" applyNumberFormat="1" applyFont="1" applyFill="1" applyBorder="1" applyAlignment="1">
      <alignment horizontal="center" vertical="center"/>
    </xf>
    <xf numFmtId="0" fontId="16" fillId="0" borderId="2" xfId="1" applyFont="1" applyBorder="1" applyAlignment="1">
      <alignment horizontal="left" vertical="center"/>
    </xf>
    <xf numFmtId="2" fontId="16" fillId="0" borderId="2" xfId="1" applyNumberFormat="1" applyFont="1" applyBorder="1" applyAlignment="1">
      <alignment horizontal="center" vertical="center"/>
    </xf>
    <xf numFmtId="44" fontId="16" fillId="0" borderId="2" xfId="2" applyFont="1" applyFill="1" applyBorder="1" applyAlignment="1">
      <alignment horizontal="right" vertical="center" indent="1"/>
    </xf>
    <xf numFmtId="0" fontId="16" fillId="2" borderId="3" xfId="1" quotePrefix="1" applyFont="1" applyFill="1" applyBorder="1" applyAlignment="1">
      <alignment horizontal="center" vertical="center"/>
    </xf>
    <xf numFmtId="0" fontId="16" fillId="2" borderId="3" xfId="1" applyFont="1" applyFill="1" applyBorder="1" applyAlignment="1">
      <alignment horizontal="center" vertical="center"/>
    </xf>
    <xf numFmtId="0" fontId="14" fillId="0" borderId="2" xfId="1" applyFont="1" applyBorder="1" applyAlignment="1">
      <alignment horizontal="left" wrapText="1"/>
    </xf>
    <xf numFmtId="0" fontId="14" fillId="0" borderId="3" xfId="1" applyFont="1" applyBorder="1" applyAlignment="1">
      <alignment horizontal="left" wrapText="1"/>
    </xf>
    <xf numFmtId="0" fontId="14" fillId="2" borderId="3" xfId="1" applyFont="1" applyFill="1" applyBorder="1" applyAlignment="1">
      <alignment horizontal="left" vertical="center" wrapText="1"/>
    </xf>
    <xf numFmtId="49" fontId="16" fillId="0" borderId="6" xfId="1" applyNumberFormat="1" applyFont="1" applyBorder="1" applyAlignment="1">
      <alignment horizontal="center" vertical="center"/>
    </xf>
    <xf numFmtId="2" fontId="16" fillId="0" borderId="2" xfId="1" applyNumberFormat="1" applyFont="1" applyBorder="1" applyAlignment="1">
      <alignment horizontal="left" vertical="center" wrapText="1"/>
    </xf>
    <xf numFmtId="0" fontId="16" fillId="0" borderId="2" xfId="1" applyFont="1" applyBorder="1" applyAlignment="1">
      <alignment horizontal="left" vertical="top" wrapText="1"/>
    </xf>
    <xf numFmtId="0" fontId="16" fillId="2" borderId="4" xfId="1" quotePrefix="1" applyFont="1" applyFill="1" applyBorder="1" applyAlignment="1">
      <alignment horizontal="center" vertical="center"/>
    </xf>
    <xf numFmtId="0" fontId="16" fillId="2" borderId="4" xfId="1" applyFont="1" applyFill="1" applyBorder="1" applyAlignment="1">
      <alignment horizontal="center" vertical="center"/>
    </xf>
    <xf numFmtId="0" fontId="16" fillId="0" borderId="4" xfId="1" applyFont="1" applyBorder="1" applyAlignment="1">
      <alignment vertical="top" wrapText="1"/>
    </xf>
    <xf numFmtId="2" fontId="16" fillId="2" borderId="4" xfId="1" applyNumberFormat="1" applyFont="1" applyFill="1" applyBorder="1" applyAlignment="1">
      <alignment horizontal="center" vertical="center"/>
    </xf>
    <xf numFmtId="44" fontId="16" fillId="2" borderId="4" xfId="2" applyFont="1" applyFill="1" applyBorder="1" applyAlignment="1">
      <alignment horizontal="center" vertical="center"/>
    </xf>
    <xf numFmtId="44" fontId="16" fillId="0" borderId="7" xfId="2" applyFont="1" applyFill="1" applyBorder="1" applyAlignment="1">
      <alignment horizontal="right" vertical="center" indent="1"/>
    </xf>
    <xf numFmtId="49" fontId="16" fillId="2" borderId="3" xfId="1" applyNumberFormat="1" applyFont="1" applyFill="1" applyBorder="1" applyAlignment="1">
      <alignment horizontal="center" vertical="center"/>
    </xf>
    <xf numFmtId="44" fontId="14" fillId="0" borderId="0" xfId="2" applyFont="1" applyFill="1" applyAlignment="1">
      <alignment horizontal="center" vertical="center"/>
    </xf>
    <xf numFmtId="4" fontId="14" fillId="0" borderId="0" xfId="3" applyNumberFormat="1" applyFont="1" applyFill="1" applyAlignment="1">
      <alignment horizontal="center" vertical="center"/>
    </xf>
    <xf numFmtId="0" fontId="14" fillId="0" borderId="0" xfId="0" applyFont="1"/>
    <xf numFmtId="0" fontId="15" fillId="2" borderId="0" xfId="1" applyFont="1" applyFill="1" applyBorder="1" applyAlignment="1">
      <alignment horizontal="center" vertical="center"/>
    </xf>
    <xf numFmtId="4" fontId="14" fillId="2" borderId="0" xfId="1" applyNumberFormat="1" applyFont="1" applyFill="1" applyBorder="1" applyAlignment="1">
      <alignment horizontal="center" vertical="center"/>
    </xf>
    <xf numFmtId="0" fontId="15" fillId="2" borderId="0" xfId="1" applyFont="1" applyFill="1" applyBorder="1" applyAlignment="1">
      <alignment vertical="center"/>
    </xf>
    <xf numFmtId="4" fontId="19" fillId="2" borderId="0" xfId="1" applyNumberFormat="1" applyFont="1" applyFill="1" applyBorder="1" applyAlignment="1">
      <alignment vertical="center"/>
    </xf>
    <xf numFmtId="0" fontId="19" fillId="3" borderId="2" xfId="0" applyFont="1" applyFill="1" applyBorder="1" applyAlignment="1">
      <alignment horizontal="center" vertical="center"/>
    </xf>
    <xf numFmtId="0" fontId="19" fillId="3" borderId="2" xfId="0" applyFont="1" applyFill="1" applyBorder="1" applyAlignment="1">
      <alignment horizontal="center" vertical="center" wrapText="1"/>
    </xf>
    <xf numFmtId="4" fontId="19" fillId="3" borderId="2" xfId="0" applyNumberFormat="1" applyFont="1" applyFill="1" applyBorder="1" applyAlignment="1">
      <alignment horizontal="center" vertical="center"/>
    </xf>
    <xf numFmtId="0" fontId="14" fillId="3" borderId="0" xfId="0" applyFont="1" applyFill="1"/>
    <xf numFmtId="0" fontId="17" fillId="0" borderId="11" xfId="0" applyFont="1" applyBorder="1" applyAlignment="1">
      <alignment horizontal="center" vertical="center"/>
    </xf>
    <xf numFmtId="0" fontId="14" fillId="0" borderId="12" xfId="0" applyFont="1" applyBorder="1"/>
    <xf numFmtId="0" fontId="14" fillId="0" borderId="11" xfId="0" applyFont="1" applyBorder="1"/>
    <xf numFmtId="0" fontId="19" fillId="0" borderId="11" xfId="0" applyFont="1" applyBorder="1" applyAlignment="1">
      <alignment horizontal="center" vertical="center"/>
    </xf>
    <xf numFmtId="0" fontId="14" fillId="0" borderId="14" xfId="0" applyFont="1" applyBorder="1"/>
    <xf numFmtId="0" fontId="14" fillId="0" borderId="11" xfId="0" applyFont="1" applyBorder="1" applyAlignment="1">
      <alignment horizontal="center" vertical="center"/>
    </xf>
    <xf numFmtId="2" fontId="14" fillId="0" borderId="0" xfId="0" applyNumberFormat="1" applyFont="1" applyBorder="1" applyAlignment="1">
      <alignment horizontal="center" vertical="center"/>
    </xf>
    <xf numFmtId="4" fontId="14" fillId="0" borderId="12" xfId="0" applyNumberFormat="1" applyFont="1" applyBorder="1" applyAlignment="1">
      <alignment horizontal="center" vertical="center"/>
    </xf>
    <xf numFmtId="2" fontId="14" fillId="0" borderId="14" xfId="0" applyNumberFormat="1" applyFont="1" applyBorder="1" applyAlignment="1">
      <alignment horizontal="center" vertical="center"/>
    </xf>
    <xf numFmtId="0" fontId="19" fillId="0" borderId="3" xfId="0" applyFont="1" applyBorder="1"/>
    <xf numFmtId="2" fontId="14" fillId="0" borderId="4" xfId="0" applyNumberFormat="1" applyFont="1" applyBorder="1" applyAlignment="1">
      <alignment horizontal="center" vertical="center"/>
    </xf>
    <xf numFmtId="4" fontId="19" fillId="0" borderId="5" xfId="0" applyNumberFormat="1" applyFont="1" applyBorder="1" applyAlignment="1">
      <alignment horizontal="center" vertical="center"/>
    </xf>
    <xf numFmtId="2" fontId="19" fillId="0" borderId="2" xfId="0" applyNumberFormat="1" applyFont="1" applyBorder="1" applyAlignment="1">
      <alignment horizontal="center" vertical="center"/>
    </xf>
    <xf numFmtId="4" fontId="14" fillId="0" borderId="12" xfId="0" applyNumberFormat="1" applyFont="1" applyBorder="1"/>
    <xf numFmtId="0" fontId="14" fillId="0" borderId="15" xfId="0" applyFont="1" applyBorder="1"/>
    <xf numFmtId="0" fontId="19" fillId="0" borderId="14"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Border="1"/>
    <xf numFmtId="0" fontId="19" fillId="0" borderId="4" xfId="0" applyFont="1" applyBorder="1"/>
    <xf numFmtId="2" fontId="14" fillId="0" borderId="12" xfId="0" applyNumberFormat="1" applyFont="1" applyBorder="1" applyAlignment="1">
      <alignment horizontal="center" vertical="center"/>
    </xf>
    <xf numFmtId="0" fontId="14" fillId="0" borderId="8" xfId="0" applyFont="1" applyBorder="1"/>
    <xf numFmtId="4" fontId="14" fillId="0" borderId="0" xfId="0" applyNumberFormat="1" applyFont="1"/>
    <xf numFmtId="166" fontId="14" fillId="0" borderId="0" xfId="0" applyNumberFormat="1" applyFont="1" applyBorder="1" applyAlignment="1">
      <alignment horizontal="center" vertical="center"/>
    </xf>
    <xf numFmtId="4" fontId="14" fillId="0" borderId="10" xfId="0" applyNumberFormat="1" applyFont="1" applyBorder="1"/>
    <xf numFmtId="4" fontId="17" fillId="0" borderId="12" xfId="0" applyNumberFormat="1" applyFont="1" applyBorder="1" applyAlignment="1">
      <alignment horizontal="left"/>
    </xf>
    <xf numFmtId="0" fontId="14" fillId="0" borderId="10" xfId="0" applyFont="1" applyBorder="1"/>
    <xf numFmtId="44" fontId="17" fillId="5" borderId="4" xfId="2" applyFont="1" applyFill="1" applyBorder="1" applyAlignment="1">
      <alignment horizontal="center" vertical="center"/>
    </xf>
    <xf numFmtId="169" fontId="14" fillId="0" borderId="0" xfId="0" applyNumberFormat="1" applyFont="1" applyBorder="1" applyAlignment="1">
      <alignment horizontal="center" vertical="center"/>
    </xf>
    <xf numFmtId="166" fontId="14" fillId="0" borderId="0" xfId="0" applyNumberFormat="1" applyFont="1"/>
    <xf numFmtId="0" fontId="14" fillId="0" borderId="0" xfId="0" applyFont="1" applyBorder="1" applyAlignment="1">
      <alignment wrapText="1"/>
    </xf>
    <xf numFmtId="44" fontId="14" fillId="2" borderId="0" xfId="2" applyFont="1" applyFill="1" applyBorder="1" applyAlignment="1">
      <alignment horizontal="left" vertical="center"/>
    </xf>
    <xf numFmtId="44" fontId="19" fillId="2" borderId="0" xfId="2" applyFont="1" applyFill="1" applyBorder="1" applyAlignment="1">
      <alignment horizontal="right" vertical="center"/>
    </xf>
    <xf numFmtId="10" fontId="16" fillId="2" borderId="0" xfId="11" applyNumberFormat="1" applyFont="1" applyFill="1" applyBorder="1" applyAlignment="1">
      <alignment horizontal="left" vertical="center"/>
    </xf>
    <xf numFmtId="164" fontId="15" fillId="2" borderId="0" xfId="3" applyFont="1" applyFill="1" applyBorder="1" applyAlignment="1">
      <alignment horizontal="right" vertical="center"/>
    </xf>
    <xf numFmtId="0" fontId="14" fillId="11" borderId="11" xfId="0" applyFont="1" applyFill="1" applyBorder="1" applyAlignment="1">
      <alignment horizontal="center" vertical="center"/>
    </xf>
    <xf numFmtId="0" fontId="14" fillId="11" borderId="11" xfId="0" applyFont="1" applyFill="1" applyBorder="1"/>
    <xf numFmtId="2" fontId="14" fillId="11" borderId="0" xfId="0" applyNumberFormat="1" applyFont="1" applyFill="1" applyBorder="1" applyAlignment="1">
      <alignment horizontal="center" vertical="center"/>
    </xf>
    <xf numFmtId="169" fontId="14" fillId="11" borderId="0" xfId="0" applyNumberFormat="1" applyFont="1" applyFill="1" applyBorder="1" applyAlignment="1">
      <alignment horizontal="center" vertical="center"/>
    </xf>
    <xf numFmtId="4" fontId="14" fillId="11" borderId="12" xfId="0" applyNumberFormat="1" applyFont="1" applyFill="1" applyBorder="1" applyAlignment="1">
      <alignment horizontal="center" vertical="center"/>
    </xf>
    <xf numFmtId="2" fontId="14" fillId="11" borderId="14" xfId="0" applyNumberFormat="1" applyFont="1" applyFill="1" applyBorder="1" applyAlignment="1">
      <alignment horizontal="center" vertical="center"/>
    </xf>
    <xf numFmtId="0" fontId="14" fillId="11" borderId="0" xfId="0" applyFont="1" applyFill="1"/>
    <xf numFmtId="0" fontId="14" fillId="11" borderId="14" xfId="0" applyFont="1" applyFill="1" applyBorder="1" applyAlignment="1">
      <alignment horizontal="center" vertical="center"/>
    </xf>
    <xf numFmtId="0" fontId="14" fillId="11" borderId="0" xfId="0" applyFont="1" applyFill="1" applyBorder="1"/>
    <xf numFmtId="4" fontId="14" fillId="11" borderId="0" xfId="0" applyNumberFormat="1" applyFont="1" applyFill="1"/>
    <xf numFmtId="0" fontId="19" fillId="11" borderId="0" xfId="0" applyFont="1" applyFill="1" applyBorder="1"/>
    <xf numFmtId="0" fontId="19" fillId="11" borderId="0" xfId="0" applyFont="1" applyFill="1" applyBorder="1" applyAlignment="1">
      <alignment horizontal="left" wrapText="1"/>
    </xf>
    <xf numFmtId="171" fontId="14" fillId="0" borderId="12" xfId="0" applyNumberFormat="1" applyFont="1" applyBorder="1" applyAlignment="1">
      <alignment horizontal="center" vertical="center"/>
    </xf>
    <xf numFmtId="171" fontId="14" fillId="11" borderId="12" xfId="0" applyNumberFormat="1" applyFont="1" applyFill="1" applyBorder="1" applyAlignment="1">
      <alignment horizontal="center" vertical="center"/>
    </xf>
    <xf numFmtId="0" fontId="21" fillId="0" borderId="0" xfId="0" applyFont="1"/>
    <xf numFmtId="0" fontId="21" fillId="0" borderId="8" xfId="0" applyFont="1" applyBorder="1"/>
    <xf numFmtId="0" fontId="21" fillId="0" borderId="15" xfId="0" applyFont="1" applyBorder="1"/>
    <xf numFmtId="0" fontId="21" fillId="0" borderId="12" xfId="0" applyFont="1" applyBorder="1"/>
    <xf numFmtId="0" fontId="15" fillId="0" borderId="11" xfId="0" applyFont="1" applyBorder="1" applyAlignment="1">
      <alignment horizontal="center" vertical="center"/>
    </xf>
    <xf numFmtId="0" fontId="16" fillId="0" borderId="14" xfId="0" applyFont="1" applyBorder="1"/>
    <xf numFmtId="0" fontId="16" fillId="0" borderId="0" xfId="0" applyFont="1"/>
    <xf numFmtId="0" fontId="16" fillId="0" borderId="11" xfId="0" applyFont="1" applyBorder="1" applyAlignment="1">
      <alignment horizontal="center" vertical="center"/>
    </xf>
    <xf numFmtId="0" fontId="16" fillId="0" borderId="11" xfId="0" applyFont="1" applyBorder="1"/>
    <xf numFmtId="2" fontId="16" fillId="0" borderId="0" xfId="0" applyNumberFormat="1" applyFont="1" applyBorder="1" applyAlignment="1">
      <alignment horizontal="center" vertical="center"/>
    </xf>
    <xf numFmtId="4" fontId="16" fillId="0" borderId="12" xfId="0" applyNumberFormat="1" applyFont="1" applyBorder="1" applyAlignment="1">
      <alignment horizontal="center" vertical="center"/>
    </xf>
    <xf numFmtId="2" fontId="16" fillId="0" borderId="14" xfId="0" applyNumberFormat="1" applyFont="1" applyBorder="1" applyAlignment="1">
      <alignment horizontal="center" vertical="center"/>
    </xf>
    <xf numFmtId="0" fontId="15" fillId="0" borderId="3" xfId="0" applyFont="1" applyBorder="1"/>
    <xf numFmtId="2" fontId="16" fillId="0" borderId="4" xfId="0" applyNumberFormat="1" applyFont="1" applyBorder="1" applyAlignment="1">
      <alignment horizontal="center" vertical="center"/>
    </xf>
    <xf numFmtId="4" fontId="15" fillId="0" borderId="5" xfId="0" applyNumberFormat="1" applyFont="1" applyBorder="1" applyAlignment="1">
      <alignment horizontal="center" vertical="center"/>
    </xf>
    <xf numFmtId="2" fontId="15" fillId="0" borderId="2" xfId="0" applyNumberFormat="1" applyFont="1" applyBorder="1" applyAlignment="1">
      <alignment horizontal="center" vertical="center"/>
    </xf>
    <xf numFmtId="0" fontId="16" fillId="0" borderId="12" xfId="0" applyFont="1" applyBorder="1"/>
    <xf numFmtId="4" fontId="16" fillId="0" borderId="12" xfId="0" applyNumberFormat="1" applyFont="1" applyBorder="1"/>
    <xf numFmtId="0" fontId="16" fillId="0" borderId="15" xfId="0" applyFont="1" applyBorder="1"/>
    <xf numFmtId="0" fontId="15" fillId="0" borderId="14"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Border="1"/>
    <xf numFmtId="0" fontId="15" fillId="0" borderId="4" xfId="0" applyFont="1" applyBorder="1"/>
    <xf numFmtId="166" fontId="16" fillId="0" borderId="0" xfId="0" applyNumberFormat="1" applyFont="1" applyBorder="1" applyAlignment="1">
      <alignment horizontal="center" vertical="center"/>
    </xf>
    <xf numFmtId="2" fontId="16" fillId="0" borderId="12" xfId="0" applyNumberFormat="1" applyFont="1" applyBorder="1" applyAlignment="1">
      <alignment horizontal="center" vertical="center"/>
    </xf>
    <xf numFmtId="0" fontId="16" fillId="0" borderId="8" xfId="0" applyFont="1" applyBorder="1"/>
    <xf numFmtId="4" fontId="15" fillId="0" borderId="12" xfId="0" applyNumberFormat="1" applyFont="1" applyBorder="1" applyAlignment="1">
      <alignment horizontal="left"/>
    </xf>
    <xf numFmtId="0" fontId="15" fillId="0" borderId="11" xfId="0" applyFont="1" applyBorder="1" applyAlignment="1">
      <alignment horizontal="center" vertical="center" wrapText="1"/>
    </xf>
    <xf numFmtId="0" fontId="16" fillId="0" borderId="14" xfId="0" applyFont="1" applyBorder="1" applyAlignment="1">
      <alignment wrapText="1"/>
    </xf>
    <xf numFmtId="0" fontId="16" fillId="0" borderId="0" xfId="0" applyFont="1" applyAlignment="1">
      <alignment wrapText="1"/>
    </xf>
    <xf numFmtId="0" fontId="16" fillId="2" borderId="11" xfId="0" applyFont="1" applyFill="1" applyBorder="1"/>
    <xf numFmtId="0" fontId="16" fillId="0" borderId="2" xfId="1" quotePrefix="1" applyFont="1" applyFill="1" applyBorder="1" applyAlignment="1">
      <alignment horizontal="center" vertical="center"/>
    </xf>
    <xf numFmtId="0" fontId="16" fillId="0" borderId="2" xfId="1" applyFont="1" applyFill="1" applyBorder="1" applyAlignment="1">
      <alignment horizontal="left" vertical="center" wrapText="1"/>
    </xf>
    <xf numFmtId="0" fontId="16" fillId="0" borderId="2" xfId="1" applyFont="1" applyFill="1" applyBorder="1" applyAlignment="1">
      <alignment horizontal="center" vertical="center"/>
    </xf>
    <xf numFmtId="2" fontId="16" fillId="0" borderId="2" xfId="1" applyNumberFormat="1" applyFont="1" applyFill="1" applyBorder="1" applyAlignment="1">
      <alignment horizontal="center" vertical="center"/>
    </xf>
    <xf numFmtId="4" fontId="16" fillId="0" borderId="0" xfId="1" applyNumberFormat="1" applyFont="1" applyFill="1" applyAlignment="1">
      <alignment horizontal="center" vertical="center"/>
    </xf>
    <xf numFmtId="0" fontId="15" fillId="0" borderId="14" xfId="0" applyFont="1" applyFill="1" applyBorder="1" applyAlignment="1">
      <alignment horizontal="center" vertical="center"/>
    </xf>
    <xf numFmtId="0" fontId="16" fillId="0" borderId="14" xfId="0" applyFont="1" applyFill="1" applyBorder="1"/>
    <xf numFmtId="0" fontId="16" fillId="0" borderId="0" xfId="0" applyFont="1" applyFill="1"/>
    <xf numFmtId="0" fontId="16" fillId="0" borderId="14" xfId="0" applyFont="1" applyFill="1" applyBorder="1" applyAlignment="1">
      <alignment horizontal="center" vertical="center"/>
    </xf>
    <xf numFmtId="0" fontId="16" fillId="0" borderId="0" xfId="0" applyFont="1" applyFill="1" applyBorder="1"/>
    <xf numFmtId="2" fontId="16" fillId="0" borderId="0" xfId="0" applyNumberFormat="1" applyFont="1" applyFill="1" applyBorder="1" applyAlignment="1">
      <alignment horizontal="center" vertical="center"/>
    </xf>
    <xf numFmtId="4" fontId="16" fillId="0" borderId="12" xfId="0" applyNumberFormat="1" applyFont="1" applyFill="1" applyBorder="1" applyAlignment="1">
      <alignment horizontal="center" vertical="center"/>
    </xf>
    <xf numFmtId="2" fontId="16" fillId="0" borderId="14" xfId="0" applyNumberFormat="1" applyFont="1" applyFill="1" applyBorder="1" applyAlignment="1">
      <alignment horizontal="center" vertical="center"/>
    </xf>
    <xf numFmtId="0" fontId="15" fillId="0" borderId="4" xfId="0" applyFont="1" applyFill="1" applyBorder="1"/>
    <xf numFmtId="2" fontId="16" fillId="0" borderId="4" xfId="0" applyNumberFormat="1" applyFont="1" applyFill="1" applyBorder="1" applyAlignment="1">
      <alignment horizontal="center" vertical="center"/>
    </xf>
    <xf numFmtId="4" fontId="15" fillId="0" borderId="5" xfId="0" applyNumberFormat="1" applyFont="1" applyFill="1" applyBorder="1" applyAlignment="1">
      <alignment horizontal="center" vertical="center"/>
    </xf>
    <xf numFmtId="2" fontId="15" fillId="0" borderId="2" xfId="0" applyNumberFormat="1" applyFont="1" applyFill="1" applyBorder="1" applyAlignment="1">
      <alignment horizontal="center" vertical="center"/>
    </xf>
    <xf numFmtId="4" fontId="16" fillId="0" borderId="12" xfId="0" applyNumberFormat="1" applyFont="1" applyFill="1" applyBorder="1"/>
    <xf numFmtId="4" fontId="16" fillId="0" borderId="10" xfId="0" applyNumberFormat="1" applyFont="1" applyBorder="1"/>
    <xf numFmtId="0" fontId="16" fillId="0" borderId="11" xfId="0" applyFont="1" applyFill="1" applyBorder="1"/>
    <xf numFmtId="0" fontId="16" fillId="2" borderId="0" xfId="0" applyFont="1" applyFill="1" applyBorder="1"/>
    <xf numFmtId="0" fontId="16" fillId="0" borderId="11" xfId="0" applyFont="1" applyFill="1" applyBorder="1" applyAlignment="1">
      <alignment horizontal="center" vertical="center"/>
    </xf>
    <xf numFmtId="2" fontId="16" fillId="0" borderId="12" xfId="0" applyNumberFormat="1" applyFont="1" applyFill="1" applyBorder="1" applyAlignment="1">
      <alignment horizontal="center" vertical="center"/>
    </xf>
    <xf numFmtId="0" fontId="15" fillId="0" borderId="3" xfId="0" applyFont="1" applyFill="1" applyBorder="1"/>
    <xf numFmtId="0" fontId="16" fillId="0" borderId="15" xfId="0" applyFont="1" applyFill="1" applyBorder="1"/>
    <xf numFmtId="4" fontId="16" fillId="0" borderId="0" xfId="0" applyNumberFormat="1" applyFont="1" applyFill="1" applyBorder="1" applyAlignment="1">
      <alignment horizontal="center" vertical="center"/>
    </xf>
    <xf numFmtId="44" fontId="16" fillId="2" borderId="6" xfId="2" applyFont="1" applyFill="1" applyBorder="1" applyAlignment="1">
      <alignment horizontal="right" vertical="center" indent="1"/>
    </xf>
    <xf numFmtId="0" fontId="16" fillId="2" borderId="2" xfId="1" applyFont="1" applyFill="1" applyBorder="1" applyAlignment="1">
      <alignment horizontal="left" vertical="top" wrapText="1"/>
    </xf>
    <xf numFmtId="0" fontId="14" fillId="2" borderId="2" xfId="1" applyFont="1" applyFill="1" applyBorder="1" applyAlignment="1">
      <alignment horizontal="left" vertical="top"/>
    </xf>
    <xf numFmtId="44" fontId="15" fillId="2" borderId="2" xfId="2" applyFont="1" applyFill="1" applyBorder="1" applyAlignment="1">
      <alignment horizontal="right" vertical="center" indent="1"/>
    </xf>
    <xf numFmtId="4" fontId="16" fillId="2" borderId="0" xfId="1" applyNumberFormat="1" applyFont="1" applyFill="1" applyAlignment="1">
      <alignment horizontal="center" vertical="center"/>
    </xf>
    <xf numFmtId="4" fontId="16" fillId="2" borderId="0" xfId="1" applyNumberFormat="1" applyFont="1" applyFill="1" applyAlignment="1">
      <alignment horizontal="center" vertical="center" wrapText="1"/>
    </xf>
    <xf numFmtId="44" fontId="14" fillId="2" borderId="0" xfId="2" applyFont="1" applyFill="1" applyAlignment="1">
      <alignment horizontal="center" vertical="center"/>
    </xf>
    <xf numFmtId="4" fontId="14" fillId="2" borderId="0" xfId="3" applyNumberFormat="1" applyFont="1" applyFill="1" applyAlignment="1">
      <alignment horizontal="center" vertical="center"/>
    </xf>
    <xf numFmtId="44" fontId="15" fillId="2" borderId="0" xfId="2" applyFont="1" applyFill="1" applyBorder="1" applyAlignment="1">
      <alignment horizontal="right" vertical="center"/>
    </xf>
    <xf numFmtId="44" fontId="16" fillId="2" borderId="0" xfId="2" applyFont="1" applyFill="1" applyBorder="1" applyAlignment="1">
      <alignment horizontal="left" vertical="center"/>
    </xf>
    <xf numFmtId="44" fontId="16" fillId="2" borderId="2" xfId="2" applyFont="1" applyFill="1" applyBorder="1" applyAlignment="1">
      <alignment horizontal="center" vertical="center"/>
    </xf>
    <xf numFmtId="10" fontId="16" fillId="2" borderId="0" xfId="2" applyNumberFormat="1" applyFont="1" applyFill="1" applyBorder="1" applyAlignment="1">
      <alignment horizontal="left" vertical="center"/>
    </xf>
    <xf numFmtId="2" fontId="15" fillId="2" borderId="0" xfId="1" applyNumberFormat="1" applyFont="1" applyFill="1" applyBorder="1" applyAlignment="1">
      <alignment vertical="center"/>
    </xf>
    <xf numFmtId="2" fontId="16" fillId="2" borderId="0" xfId="1" applyNumberFormat="1" applyFont="1" applyFill="1" applyBorder="1" applyAlignment="1">
      <alignment vertical="center"/>
    </xf>
    <xf numFmtId="44" fontId="16" fillId="0" borderId="2" xfId="2" applyFont="1" applyBorder="1"/>
    <xf numFmtId="0" fontId="16" fillId="0" borderId="0" xfId="4" applyFont="1"/>
    <xf numFmtId="0" fontId="16" fillId="0" borderId="2" xfId="4" applyFont="1" applyBorder="1"/>
    <xf numFmtId="172" fontId="16" fillId="0" borderId="0" xfId="4" applyNumberFormat="1" applyFont="1"/>
    <xf numFmtId="4" fontId="16" fillId="0" borderId="0" xfId="4" applyNumberFormat="1" applyFont="1"/>
    <xf numFmtId="4" fontId="16" fillId="0" borderId="10" xfId="4" applyNumberFormat="1" applyFont="1" applyBorder="1"/>
    <xf numFmtId="4" fontId="15" fillId="2" borderId="0" xfId="3" applyNumberFormat="1" applyFont="1" applyFill="1" applyBorder="1" applyAlignment="1">
      <alignment horizontal="center" vertical="center"/>
    </xf>
    <xf numFmtId="4" fontId="16" fillId="0" borderId="12" xfId="4" applyNumberFormat="1" applyFont="1" applyBorder="1"/>
    <xf numFmtId="4" fontId="15" fillId="8" borderId="3" xfId="4" applyNumberFormat="1" applyFont="1" applyFill="1" applyBorder="1" applyAlignment="1">
      <alignment horizontal="center" vertical="center" wrapText="1"/>
    </xf>
    <xf numFmtId="4" fontId="15" fillId="8" borderId="2" xfId="4" applyNumberFormat="1" applyFont="1" applyFill="1" applyBorder="1" applyAlignment="1">
      <alignment horizontal="center" vertical="center"/>
    </xf>
    <xf numFmtId="172" fontId="15" fillId="0" borderId="2" xfId="4" applyNumberFormat="1" applyFont="1" applyBorder="1" applyAlignment="1">
      <alignment horizontal="center"/>
    </xf>
    <xf numFmtId="4" fontId="15" fillId="0" borderId="2" xfId="4" applyNumberFormat="1" applyFont="1" applyBorder="1" applyAlignment="1">
      <alignment horizontal="center"/>
    </xf>
    <xf numFmtId="49" fontId="16" fillId="0" borderId="2" xfId="4" applyNumberFormat="1" applyFont="1" applyBorder="1" applyAlignment="1">
      <alignment horizontal="center" vertical="center"/>
    </xf>
    <xf numFmtId="172" fontId="16" fillId="0" borderId="2" xfId="4" applyNumberFormat="1" applyFont="1" applyBorder="1" applyAlignment="1">
      <alignment horizontal="center" vertical="center"/>
    </xf>
    <xf numFmtId="44" fontId="16" fillId="0" borderId="2" xfId="12" applyFont="1" applyBorder="1" applyAlignment="1">
      <alignment horizontal="center" vertical="center"/>
    </xf>
    <xf numFmtId="0" fontId="16" fillId="0" borderId="2" xfId="4" applyFont="1" applyBorder="1" applyAlignment="1">
      <alignment horizontal="left" wrapText="1"/>
    </xf>
    <xf numFmtId="0" fontId="16" fillId="0" borderId="2" xfId="1" applyFont="1" applyBorder="1" applyAlignment="1">
      <alignment vertical="center"/>
    </xf>
    <xf numFmtId="44" fontId="16" fillId="2" borderId="2" xfId="12" applyFont="1" applyFill="1" applyBorder="1" applyAlignment="1">
      <alignment horizontal="center" vertical="center"/>
    </xf>
    <xf numFmtId="0" fontId="15" fillId="0" borderId="2" xfId="4" applyFont="1" applyBorder="1"/>
    <xf numFmtId="10" fontId="15" fillId="0" borderId="2" xfId="4" applyNumberFormat="1" applyFont="1" applyBorder="1"/>
    <xf numFmtId="2" fontId="15" fillId="0" borderId="2" xfId="4" applyNumberFormat="1" applyFont="1" applyBorder="1"/>
    <xf numFmtId="0" fontId="16" fillId="0" borderId="2" xfId="1" applyFont="1" applyBorder="1" applyAlignment="1">
      <alignment vertical="center" wrapText="1"/>
    </xf>
    <xf numFmtId="0" fontId="14" fillId="0" borderId="2" xfId="1" applyFont="1" applyBorder="1" applyAlignment="1">
      <alignment horizontal="left" vertical="top" wrapText="1"/>
    </xf>
    <xf numFmtId="0" fontId="16" fillId="0" borderId="2" xfId="4" applyFont="1" applyBorder="1" applyAlignment="1">
      <alignment horizontal="left" vertical="top" wrapText="1"/>
    </xf>
    <xf numFmtId="0" fontId="16" fillId="0" borderId="2" xfId="4" quotePrefix="1" applyFont="1" applyBorder="1" applyAlignment="1">
      <alignment horizontal="center" vertical="center"/>
    </xf>
    <xf numFmtId="49" fontId="16" fillId="0" borderId="2" xfId="4" quotePrefix="1" applyNumberFormat="1" applyFont="1" applyBorder="1" applyAlignment="1">
      <alignment horizontal="center" vertical="center"/>
    </xf>
    <xf numFmtId="0" fontId="16" fillId="0" borderId="2" xfId="4" applyFont="1" applyBorder="1" applyAlignment="1">
      <alignment wrapText="1"/>
    </xf>
    <xf numFmtId="4" fontId="16" fillId="0" borderId="0" xfId="4" applyNumberFormat="1" applyFont="1" applyAlignment="1">
      <alignment horizontal="center" vertical="center"/>
    </xf>
    <xf numFmtId="0" fontId="15" fillId="7" borderId="0" xfId="4" applyFont="1" applyFill="1" applyAlignment="1">
      <alignment horizontal="left" vertical="center"/>
    </xf>
    <xf numFmtId="165" fontId="16" fillId="7" borderId="0" xfId="4" applyNumberFormat="1" applyFont="1" applyFill="1" applyAlignment="1">
      <alignment horizontal="center" vertical="center"/>
    </xf>
    <xf numFmtId="4" fontId="15" fillId="7" borderId="0" xfId="4" applyNumberFormat="1" applyFont="1" applyFill="1" applyAlignment="1">
      <alignment horizontal="center" vertical="center"/>
    </xf>
    <xf numFmtId="0" fontId="16" fillId="7" borderId="1" xfId="4" applyFont="1" applyFill="1" applyBorder="1" applyAlignment="1">
      <alignment horizontal="center" vertical="center"/>
    </xf>
    <xf numFmtId="4" fontId="16" fillId="0" borderId="1" xfId="4" applyNumberFormat="1" applyFont="1" applyBorder="1" applyAlignment="1">
      <alignment horizontal="center" vertical="center"/>
    </xf>
    <xf numFmtId="3" fontId="24" fillId="6" borderId="2" xfId="3" applyNumberFormat="1" applyFont="1" applyFill="1" applyBorder="1" applyAlignment="1">
      <alignment horizontal="center" vertical="center"/>
    </xf>
    <xf numFmtId="0" fontId="25" fillId="5" borderId="16" xfId="4" applyFont="1" applyFill="1" applyBorder="1" applyAlignment="1">
      <alignment horizontal="center" vertical="center"/>
    </xf>
    <xf numFmtId="10" fontId="24" fillId="5" borderId="16" xfId="4" applyNumberFormat="1" applyFont="1" applyFill="1" applyBorder="1" applyAlignment="1">
      <alignment horizontal="right" vertical="center"/>
    </xf>
    <xf numFmtId="0" fontId="25" fillId="0" borderId="17" xfId="4" applyFont="1" applyBorder="1" applyAlignment="1">
      <alignment horizontal="center" vertical="center"/>
    </xf>
    <xf numFmtId="167" fontId="24" fillId="0" borderId="17" xfId="3" applyNumberFormat="1" applyFont="1" applyBorder="1" applyAlignment="1">
      <alignment horizontal="right" vertical="center"/>
    </xf>
    <xf numFmtId="167" fontId="24" fillId="0" borderId="6" xfId="3" applyNumberFormat="1" applyFont="1" applyBorder="1" applyAlignment="1">
      <alignment horizontal="right" vertical="center"/>
    </xf>
    <xf numFmtId="10" fontId="15" fillId="4" borderId="2" xfId="4" applyNumberFormat="1" applyFont="1" applyFill="1" applyBorder="1" applyAlignment="1">
      <alignment horizontal="right" vertical="center"/>
    </xf>
    <xf numFmtId="167" fontId="15" fillId="4" borderId="2" xfId="3" applyNumberFormat="1" applyFont="1" applyFill="1" applyBorder="1" applyAlignment="1">
      <alignment horizontal="right" vertical="center"/>
    </xf>
    <xf numFmtId="4" fontId="15" fillId="2" borderId="0" xfId="4" applyNumberFormat="1" applyFont="1" applyFill="1" applyAlignment="1">
      <alignment horizontal="left" vertical="center"/>
    </xf>
    <xf numFmtId="4" fontId="15" fillId="2" borderId="12" xfId="4" applyNumberFormat="1" applyFont="1" applyFill="1" applyBorder="1" applyAlignment="1">
      <alignment vertical="center"/>
    </xf>
    <xf numFmtId="4" fontId="16" fillId="2" borderId="12" xfId="4" applyNumberFormat="1" applyFont="1" applyFill="1" applyBorder="1" applyAlignment="1">
      <alignment horizontal="right" vertical="center"/>
    </xf>
    <xf numFmtId="4" fontId="15" fillId="2" borderId="11" xfId="4" applyNumberFormat="1" applyFont="1" applyFill="1" applyBorder="1" applyAlignment="1">
      <alignment vertical="center"/>
    </xf>
    <xf numFmtId="4" fontId="16" fillId="2" borderId="0" xfId="4" applyNumberFormat="1" applyFont="1" applyFill="1" applyBorder="1" applyAlignment="1">
      <alignment horizontal="left" vertical="center"/>
    </xf>
    <xf numFmtId="4" fontId="15" fillId="2" borderId="12" xfId="4" applyNumberFormat="1" applyFont="1" applyFill="1" applyBorder="1" applyAlignment="1">
      <alignment horizontal="left" vertical="center"/>
    </xf>
    <xf numFmtId="4" fontId="16" fillId="0" borderId="0" xfId="4" quotePrefix="1" applyNumberFormat="1" applyFont="1" applyAlignment="1">
      <alignment horizontal="center" vertical="center"/>
    </xf>
    <xf numFmtId="4" fontId="24" fillId="4" borderId="2" xfId="4" applyNumberFormat="1" applyFont="1" applyFill="1" applyBorder="1" applyAlignment="1">
      <alignment horizontal="center" vertical="center"/>
    </xf>
    <xf numFmtId="4" fontId="16" fillId="2" borderId="11" xfId="4" applyNumberFormat="1" applyFont="1" applyFill="1" applyBorder="1" applyAlignment="1">
      <alignment horizontal="center" vertical="center"/>
    </xf>
    <xf numFmtId="4" fontId="16" fillId="2" borderId="0" xfId="4" applyNumberFormat="1" applyFont="1" applyFill="1" applyAlignment="1">
      <alignment horizontal="center" vertical="center"/>
    </xf>
    <xf numFmtId="4" fontId="16" fillId="2" borderId="12" xfId="4" applyNumberFormat="1" applyFont="1" applyFill="1" applyBorder="1" applyAlignment="1">
      <alignment horizontal="center" vertical="center"/>
    </xf>
    <xf numFmtId="4" fontId="16" fillId="0" borderId="11" xfId="4" applyNumberFormat="1" applyFont="1" applyBorder="1" applyAlignment="1">
      <alignment horizontal="center" vertical="center"/>
    </xf>
    <xf numFmtId="4" fontId="16" fillId="0" borderId="12" xfId="4" applyNumberFormat="1" applyFont="1" applyBorder="1" applyAlignment="1">
      <alignment horizontal="center" vertical="center"/>
    </xf>
    <xf numFmtId="4" fontId="16" fillId="0" borderId="13" xfId="4" applyNumberFormat="1" applyFont="1" applyBorder="1" applyAlignment="1">
      <alignment horizontal="center" vertical="center"/>
    </xf>
    <xf numFmtId="4" fontId="16" fillId="0" borderId="7" xfId="4" applyNumberFormat="1" applyFont="1" applyBorder="1" applyAlignment="1">
      <alignment horizontal="center" vertical="center"/>
    </xf>
    <xf numFmtId="0" fontId="24" fillId="0" borderId="0" xfId="5" applyFont="1" applyAlignment="1">
      <alignment horizontal="center"/>
    </xf>
    <xf numFmtId="0" fontId="25" fillId="0" borderId="0" xfId="5" applyFont="1"/>
    <xf numFmtId="0" fontId="25" fillId="0" borderId="0" xfId="5" applyFont="1" applyAlignment="1">
      <alignment horizontal="left"/>
    </xf>
    <xf numFmtId="0" fontId="24" fillId="0" borderId="0" xfId="5" applyFont="1"/>
    <xf numFmtId="0" fontId="25" fillId="0" borderId="0" xfId="5" applyFont="1" applyAlignment="1">
      <alignment horizontal="right" vertical="center"/>
    </xf>
    <xf numFmtId="10" fontId="24" fillId="0" borderId="0" xfId="5" applyNumberFormat="1" applyFont="1" applyAlignment="1">
      <alignment horizontal="left" vertical="center"/>
    </xf>
    <xf numFmtId="0" fontId="24" fillId="0" borderId="0" xfId="5" applyFont="1" applyAlignment="1">
      <alignment horizontal="center" wrapText="1"/>
    </xf>
    <xf numFmtId="0" fontId="24" fillId="0" borderId="0" xfId="5" applyFont="1" applyAlignment="1">
      <alignment wrapText="1"/>
    </xf>
    <xf numFmtId="0" fontId="16" fillId="0" borderId="0" xfId="6" applyFont="1"/>
    <xf numFmtId="0" fontId="15" fillId="0" borderId="0" xfId="6" applyFont="1" applyAlignment="1">
      <alignment horizontal="center"/>
    </xf>
    <xf numFmtId="0" fontId="15" fillId="0" borderId="0" xfId="6" applyFont="1"/>
    <xf numFmtId="0" fontId="16" fillId="9" borderId="0" xfId="6" applyFont="1" applyFill="1" applyProtection="1">
      <protection locked="0"/>
    </xf>
    <xf numFmtId="0" fontId="16" fillId="0" borderId="0" xfId="6" applyFont="1" applyAlignment="1">
      <alignment horizontal="center"/>
    </xf>
    <xf numFmtId="0" fontId="16" fillId="0" borderId="0" xfId="6" applyFont="1" applyAlignment="1">
      <alignment horizontal="right"/>
    </xf>
    <xf numFmtId="0" fontId="16" fillId="0" borderId="18" xfId="6" applyFont="1" applyBorder="1" applyAlignment="1">
      <alignment horizontal="justify" vertical="top" wrapText="1"/>
    </xf>
    <xf numFmtId="2" fontId="16" fillId="9" borderId="19" xfId="6" applyNumberFormat="1" applyFont="1" applyFill="1" applyBorder="1" applyAlignment="1" applyProtection="1">
      <alignment horizontal="center" vertical="top" wrapText="1"/>
      <protection locked="0"/>
    </xf>
    <xf numFmtId="0" fontId="16" fillId="0" borderId="5" xfId="6" applyFont="1" applyBorder="1" applyAlignment="1">
      <alignment horizontal="center" vertical="top" wrapText="1"/>
    </xf>
    <xf numFmtId="0" fontId="25" fillId="0" borderId="0" xfId="6" applyFont="1" applyAlignment="1">
      <alignment horizontal="center" wrapText="1"/>
    </xf>
    <xf numFmtId="0" fontId="18" fillId="0" borderId="4" xfId="6" applyFont="1" applyBorder="1" applyAlignment="1">
      <alignment horizontal="justify" vertical="top" wrapText="1"/>
    </xf>
    <xf numFmtId="2" fontId="16" fillId="0" borderId="4" xfId="6" applyNumberFormat="1" applyFont="1" applyBorder="1" applyAlignment="1">
      <alignment horizontal="center" vertical="top" wrapText="1"/>
    </xf>
    <xf numFmtId="0" fontId="16" fillId="0" borderId="4" xfId="6" applyFont="1" applyBorder="1" applyAlignment="1">
      <alignment horizontal="center" vertical="top" wrapText="1"/>
    </xf>
    <xf numFmtId="0" fontId="15" fillId="0" borderId="18" xfId="6" applyFont="1" applyBorder="1" applyAlignment="1">
      <alignment horizontal="justify"/>
    </xf>
    <xf numFmtId="2" fontId="15" fillId="0" borderId="19" xfId="6" applyNumberFormat="1" applyFont="1" applyBorder="1" applyAlignment="1">
      <alignment horizontal="center"/>
    </xf>
    <xf numFmtId="0" fontId="15" fillId="0" borderId="5" xfId="6" applyFont="1" applyBorder="1" applyAlignment="1">
      <alignment horizontal="center" vertical="top" wrapText="1"/>
    </xf>
    <xf numFmtId="0" fontId="18" fillId="0" borderId="18" xfId="6" applyFont="1" applyBorder="1" applyAlignment="1">
      <alignment horizontal="left" vertical="top" wrapText="1" indent="2"/>
    </xf>
    <xf numFmtId="2" fontId="16" fillId="0" borderId="19" xfId="6" applyNumberFormat="1" applyFont="1" applyBorder="1" applyAlignment="1">
      <alignment horizontal="center" vertical="top" wrapText="1"/>
    </xf>
    <xf numFmtId="2" fontId="16" fillId="0" borderId="5" xfId="6" applyNumberFormat="1" applyFont="1" applyBorder="1" applyAlignment="1">
      <alignment horizontal="center" vertical="top" wrapText="1"/>
    </xf>
    <xf numFmtId="10" fontId="27" fillId="0" borderId="0" xfId="8" applyNumberFormat="1" applyFont="1" applyBorder="1" applyAlignment="1" applyProtection="1">
      <alignment horizontal="center" vertical="center" wrapText="1"/>
    </xf>
    <xf numFmtId="10" fontId="25" fillId="0" borderId="0" xfId="8" applyNumberFormat="1" applyFont="1" applyProtection="1"/>
    <xf numFmtId="170" fontId="25" fillId="0" borderId="0" xfId="8" applyNumberFormat="1" applyFont="1" applyAlignment="1" applyProtection="1">
      <alignment horizontal="center"/>
    </xf>
    <xf numFmtId="0" fontId="15" fillId="0" borderId="0" xfId="5" applyFont="1" applyAlignment="1">
      <alignment vertical="center"/>
    </xf>
    <xf numFmtId="0" fontId="16" fillId="0" borderId="0" xfId="6" applyFont="1" applyAlignment="1">
      <alignment horizontal="left"/>
    </xf>
    <xf numFmtId="0" fontId="16" fillId="0" borderId="0" xfId="5" applyFont="1" applyAlignment="1">
      <alignment vertical="center"/>
    </xf>
    <xf numFmtId="0" fontId="15" fillId="9" borderId="9" xfId="5" applyFont="1" applyFill="1" applyBorder="1" applyAlignment="1" applyProtection="1">
      <alignment horizontal="center" vertical="center"/>
      <protection locked="0"/>
    </xf>
    <xf numFmtId="0" fontId="16" fillId="9" borderId="0" xfId="5" applyFont="1" applyFill="1" applyAlignment="1" applyProtection="1">
      <alignment horizontal="center" vertical="center"/>
      <protection locked="0"/>
    </xf>
    <xf numFmtId="0" fontId="16" fillId="0" borderId="0" xfId="1" applyFont="1"/>
    <xf numFmtId="2" fontId="16" fillId="0" borderId="2" xfId="4" applyNumberFormat="1" applyFont="1" applyBorder="1" applyAlignment="1">
      <alignment horizontal="center" vertical="center"/>
    </xf>
    <xf numFmtId="44" fontId="16" fillId="0" borderId="2" xfId="4" applyNumberFormat="1" applyFont="1" applyBorder="1" applyAlignment="1">
      <alignment horizontal="center" vertical="center"/>
    </xf>
    <xf numFmtId="44" fontId="15" fillId="0" borderId="2" xfId="4" applyNumberFormat="1" applyFont="1" applyBorder="1" applyAlignment="1">
      <alignment horizontal="center" vertical="center"/>
    </xf>
    <xf numFmtId="44" fontId="15" fillId="0" borderId="2" xfId="4" applyNumberFormat="1" applyFont="1" applyBorder="1"/>
    <xf numFmtId="0" fontId="16" fillId="0" borderId="2" xfId="1" applyFont="1" applyBorder="1"/>
    <xf numFmtId="0" fontId="16" fillId="0" borderId="0" xfId="1" applyFont="1" applyAlignment="1">
      <alignment horizontal="center"/>
    </xf>
    <xf numFmtId="0" fontId="15" fillId="0" borderId="0" xfId="1" applyFont="1"/>
    <xf numFmtId="0" fontId="16" fillId="2" borderId="0" xfId="1" applyFont="1" applyFill="1"/>
    <xf numFmtId="0" fontId="16" fillId="0" borderId="2" xfId="10" applyFont="1" applyBorder="1" applyAlignment="1">
      <alignment horizontal="center" vertical="center"/>
    </xf>
    <xf numFmtId="2" fontId="16" fillId="0" borderId="2" xfId="4" applyNumberFormat="1" applyFont="1" applyBorder="1" applyAlignment="1">
      <alignment horizontal="center" vertical="center" wrapText="1"/>
    </xf>
    <xf numFmtId="44" fontId="16" fillId="0" borderId="2" xfId="4" applyNumberFormat="1" applyFont="1" applyBorder="1" applyAlignment="1">
      <alignment horizontal="center" vertical="center" wrapText="1"/>
    </xf>
    <xf numFmtId="44" fontId="15" fillId="0" borderId="2" xfId="4" applyNumberFormat="1" applyFont="1" applyBorder="1" applyAlignment="1">
      <alignment horizontal="center" vertical="center" wrapText="1"/>
    </xf>
    <xf numFmtId="1" fontId="24" fillId="8" borderId="2" xfId="9" applyNumberFormat="1" applyFont="1" applyFill="1" applyBorder="1" applyAlignment="1">
      <alignment horizontal="center"/>
    </xf>
    <xf numFmtId="44" fontId="16" fillId="0" borderId="2" xfId="12" applyFont="1" applyBorder="1"/>
    <xf numFmtId="44" fontId="18" fillId="0" borderId="2" xfId="12" applyFont="1" applyBorder="1"/>
    <xf numFmtId="10" fontId="18" fillId="0" borderId="2" xfId="4" applyNumberFormat="1" applyFont="1" applyBorder="1"/>
    <xf numFmtId="0" fontId="15" fillId="8" borderId="3" xfId="4" applyFont="1" applyFill="1" applyBorder="1" applyAlignment="1">
      <alignment horizontal="center" vertical="center" wrapText="1"/>
    </xf>
    <xf numFmtId="0" fontId="15" fillId="8" borderId="2" xfId="4" applyFont="1" applyFill="1" applyBorder="1" applyAlignment="1">
      <alignment horizontal="center" vertical="center"/>
    </xf>
    <xf numFmtId="0" fontId="16" fillId="0" borderId="2" xfId="4" applyFont="1" applyBorder="1" applyAlignment="1">
      <alignment horizontal="left" vertical="top"/>
    </xf>
    <xf numFmtId="2" fontId="16" fillId="0" borderId="2" xfId="4" applyNumberFormat="1" applyFont="1" applyBorder="1"/>
    <xf numFmtId="10" fontId="16" fillId="0" borderId="2" xfId="4" applyNumberFormat="1" applyFont="1" applyBorder="1"/>
    <xf numFmtId="44" fontId="16" fillId="0" borderId="2" xfId="1" applyNumberFormat="1" applyFont="1" applyBorder="1" applyAlignment="1">
      <alignment horizontal="center" vertical="center"/>
    </xf>
    <xf numFmtId="44" fontId="16" fillId="0" borderId="2" xfId="2" applyFont="1" applyBorder="1" applyAlignment="1">
      <alignment horizontal="center" vertical="center"/>
    </xf>
    <xf numFmtId="44" fontId="16" fillId="0" borderId="2" xfId="2" applyFont="1" applyBorder="1" applyAlignment="1">
      <alignment vertical="center"/>
    </xf>
    <xf numFmtId="44" fontId="16" fillId="0" borderId="2" xfId="2" applyFont="1" applyFill="1" applyBorder="1" applyAlignment="1">
      <alignment horizontal="center" vertical="center"/>
    </xf>
    <xf numFmtId="0" fontId="15" fillId="0" borderId="11" xfId="0" applyFont="1" applyBorder="1" applyAlignment="1">
      <alignment horizontal="left"/>
    </xf>
    <xf numFmtId="0" fontId="15" fillId="0" borderId="0" xfId="0" applyFont="1" applyBorder="1" applyAlignment="1">
      <alignment horizontal="left"/>
    </xf>
    <xf numFmtId="0" fontId="19" fillId="0" borderId="0" xfId="0" applyFont="1" applyBorder="1" applyAlignment="1">
      <alignment horizontal="left" wrapText="1"/>
    </xf>
    <xf numFmtId="0" fontId="19" fillId="0" borderId="12" xfId="0" applyFont="1" applyBorder="1" applyAlignment="1">
      <alignment horizontal="left" wrapText="1"/>
    </xf>
    <xf numFmtId="0" fontId="17" fillId="0" borderId="11" xfId="0" applyFont="1" applyBorder="1" applyAlignment="1">
      <alignment horizontal="left"/>
    </xf>
    <xf numFmtId="0" fontId="17" fillId="0" borderId="0" xfId="0" applyFont="1" applyBorder="1" applyAlignment="1">
      <alignment horizontal="left"/>
    </xf>
    <xf numFmtId="0" fontId="15" fillId="2" borderId="0" xfId="1" applyFont="1" applyFill="1" applyBorder="1" applyAlignment="1">
      <alignment horizontal="left" vertical="center"/>
    </xf>
    <xf numFmtId="0" fontId="15" fillId="0" borderId="2" xfId="4" applyFont="1" applyBorder="1" applyAlignment="1">
      <alignment horizontal="center"/>
    </xf>
    <xf numFmtId="0" fontId="16" fillId="0" borderId="2" xfId="4" applyFont="1" applyBorder="1" applyAlignment="1">
      <alignment horizontal="center" vertical="center"/>
    </xf>
    <xf numFmtId="0" fontId="16" fillId="0" borderId="2" xfId="4" applyFont="1" applyBorder="1" applyAlignment="1">
      <alignment horizontal="center" vertical="center" wrapText="1"/>
    </xf>
    <xf numFmtId="4" fontId="14" fillId="0" borderId="0" xfId="0" applyNumberFormat="1" applyFont="1" applyBorder="1"/>
    <xf numFmtId="0" fontId="21" fillId="0" borderId="11" xfId="0" applyFont="1" applyBorder="1"/>
    <xf numFmtId="0" fontId="21" fillId="0" borderId="0" xfId="0" applyFont="1" applyBorder="1"/>
    <xf numFmtId="4" fontId="21" fillId="0" borderId="0" xfId="0" applyNumberFormat="1" applyFont="1" applyBorder="1"/>
    <xf numFmtId="4" fontId="16" fillId="0" borderId="0" xfId="0" applyNumberFormat="1" applyFont="1" applyBorder="1"/>
    <xf numFmtId="0" fontId="16" fillId="0" borderId="6" xfId="0" applyFont="1" applyFill="1" applyBorder="1"/>
    <xf numFmtId="0" fontId="16" fillId="0" borderId="1" xfId="0" applyFont="1" applyFill="1" applyBorder="1"/>
    <xf numFmtId="4" fontId="16" fillId="0" borderId="7" xfId="0" applyNumberFormat="1" applyFont="1" applyFill="1" applyBorder="1"/>
    <xf numFmtId="0" fontId="16" fillId="0" borderId="2" xfId="0" applyFont="1" applyFill="1" applyBorder="1"/>
    <xf numFmtId="0" fontId="16" fillId="0" borderId="3" xfId="4" applyFont="1" applyBorder="1" applyAlignment="1">
      <alignment horizontal="left" vertical="center" wrapText="1"/>
    </xf>
    <xf numFmtId="0" fontId="16" fillId="0" borderId="11" xfId="1" applyFont="1" applyBorder="1" applyAlignment="1">
      <alignment vertical="center"/>
    </xf>
    <xf numFmtId="4" fontId="16" fillId="2" borderId="11" xfId="4" applyNumberFormat="1" applyFont="1" applyFill="1" applyBorder="1" applyAlignment="1">
      <alignment horizontal="center" vertical="center"/>
    </xf>
    <xf numFmtId="4" fontId="16" fillId="2" borderId="0" xfId="4" applyNumberFormat="1" applyFont="1" applyFill="1" applyAlignment="1">
      <alignment horizontal="center" vertical="center"/>
    </xf>
    <xf numFmtId="4" fontId="16" fillId="2" borderId="12" xfId="4" applyNumberFormat="1" applyFont="1" applyFill="1" applyBorder="1" applyAlignment="1">
      <alignment horizontal="center" vertical="center"/>
    </xf>
    <xf numFmtId="4" fontId="24" fillId="4" borderId="2" xfId="4" applyNumberFormat="1" applyFont="1" applyFill="1" applyBorder="1" applyAlignment="1">
      <alignment horizontal="center" vertical="center"/>
    </xf>
    <xf numFmtId="164" fontId="17" fillId="4" borderId="2" xfId="3" applyFont="1" applyFill="1" applyBorder="1" applyAlignment="1">
      <alignment horizontal="center" vertical="center"/>
    </xf>
    <xf numFmtId="164" fontId="24" fillId="4" borderId="2" xfId="3" applyFont="1" applyFill="1" applyBorder="1" applyAlignment="1">
      <alignment horizontal="center" vertical="center"/>
    </xf>
    <xf numFmtId="2" fontId="24" fillId="4" borderId="2" xfId="3" applyNumberFormat="1" applyFont="1" applyFill="1" applyBorder="1" applyAlignment="1">
      <alignment horizontal="right" vertical="center"/>
    </xf>
    <xf numFmtId="3" fontId="25" fillId="0" borderId="15" xfId="4" applyNumberFormat="1" applyFont="1" applyBorder="1" applyAlignment="1">
      <alignment horizontal="center" vertical="center"/>
    </xf>
    <xf numFmtId="3" fontId="25" fillId="0" borderId="6" xfId="4" applyNumberFormat="1" applyFont="1" applyBorder="1" applyAlignment="1">
      <alignment horizontal="center" vertical="center"/>
    </xf>
    <xf numFmtId="4" fontId="25" fillId="0" borderId="15" xfId="4" applyNumberFormat="1" applyFont="1" applyBorder="1" applyAlignment="1">
      <alignment horizontal="left" vertical="center" wrapText="1"/>
    </xf>
    <xf numFmtId="4" fontId="25" fillId="0" borderId="6" xfId="4" applyNumberFormat="1" applyFont="1" applyBorder="1" applyAlignment="1">
      <alignment horizontal="left" vertical="center" wrapText="1"/>
    </xf>
    <xf numFmtId="10" fontId="25" fillId="0" borderId="15" xfId="4" applyNumberFormat="1" applyFont="1" applyBorder="1" applyAlignment="1">
      <alignment horizontal="center" vertical="center" wrapText="1"/>
    </xf>
    <xf numFmtId="10" fontId="25" fillId="0" borderId="6" xfId="4" applyNumberFormat="1" applyFont="1" applyBorder="1" applyAlignment="1">
      <alignment horizontal="center" vertical="center" wrapText="1"/>
    </xf>
    <xf numFmtId="164" fontId="25" fillId="0" borderId="15" xfId="3" applyFont="1" applyFill="1" applyBorder="1" applyAlignment="1">
      <alignment horizontal="center" vertical="center" wrapText="1"/>
    </xf>
    <xf numFmtId="164" fontId="25" fillId="0" borderId="6" xfId="3" applyFont="1" applyFill="1" applyBorder="1" applyAlignment="1">
      <alignment horizontal="center" vertical="center" wrapText="1"/>
    </xf>
    <xf numFmtId="3" fontId="25" fillId="0" borderId="15" xfId="4" quotePrefix="1" applyNumberFormat="1" applyFont="1" applyBorder="1" applyAlignment="1">
      <alignment horizontal="center" vertical="center"/>
    </xf>
    <xf numFmtId="164" fontId="25" fillId="0" borderId="15" xfId="3" applyFont="1" applyFill="1" applyBorder="1" applyAlignment="1">
      <alignment horizontal="right" vertical="center" wrapText="1"/>
    </xf>
    <xf numFmtId="164" fontId="25" fillId="0" borderId="6" xfId="3" applyFont="1" applyFill="1" applyBorder="1" applyAlignment="1">
      <alignment horizontal="right" vertical="center" wrapText="1"/>
    </xf>
    <xf numFmtId="164" fontId="25" fillId="0" borderId="2" xfId="3" applyFont="1" applyFill="1" applyBorder="1" applyAlignment="1">
      <alignment horizontal="center" vertical="center" wrapText="1"/>
    </xf>
    <xf numFmtId="3" fontId="25" fillId="0" borderId="2" xfId="4" applyNumberFormat="1" applyFont="1" applyBorder="1" applyAlignment="1">
      <alignment horizontal="center" vertical="center"/>
    </xf>
    <xf numFmtId="4" fontId="25" fillId="0" borderId="2" xfId="4" applyNumberFormat="1" applyFont="1" applyBorder="1" applyAlignment="1">
      <alignment horizontal="left" vertical="center" wrapText="1"/>
    </xf>
    <xf numFmtId="4" fontId="13" fillId="2" borderId="8" xfId="4" applyNumberFormat="1" applyFont="1" applyFill="1" applyBorder="1" applyAlignment="1">
      <alignment horizontal="center" vertical="center"/>
    </xf>
    <xf numFmtId="4" fontId="13" fillId="2" borderId="9" xfId="4" applyNumberFormat="1" applyFont="1" applyFill="1" applyBorder="1" applyAlignment="1">
      <alignment horizontal="center" vertical="center"/>
    </xf>
    <xf numFmtId="4" fontId="13" fillId="2" borderId="10" xfId="4" applyNumberFormat="1" applyFont="1" applyFill="1" applyBorder="1" applyAlignment="1">
      <alignment horizontal="center" vertical="center"/>
    </xf>
    <xf numFmtId="4" fontId="15" fillId="2" borderId="11" xfId="4" applyNumberFormat="1" applyFont="1" applyFill="1" applyBorder="1" applyAlignment="1">
      <alignment horizontal="left" vertical="center"/>
    </xf>
    <xf numFmtId="4" fontId="15" fillId="2" borderId="0" xfId="4" applyNumberFormat="1" applyFont="1" applyFill="1" applyAlignment="1">
      <alignment horizontal="left" vertical="center"/>
    </xf>
    <xf numFmtId="4" fontId="24" fillId="6" borderId="2" xfId="4" applyNumberFormat="1" applyFont="1" applyFill="1" applyBorder="1" applyAlignment="1">
      <alignment horizontal="center" vertical="center"/>
    </xf>
    <xf numFmtId="4" fontId="24" fillId="6" borderId="2" xfId="3" applyNumberFormat="1" applyFont="1" applyFill="1" applyBorder="1" applyAlignment="1">
      <alignment horizontal="center" vertical="center"/>
    </xf>
    <xf numFmtId="0" fontId="16" fillId="0" borderId="3" xfId="1" applyFont="1" applyBorder="1" applyAlignment="1">
      <alignment horizontal="center" vertical="center"/>
    </xf>
    <xf numFmtId="0" fontId="16" fillId="0" borderId="5" xfId="1" applyFont="1" applyBorder="1" applyAlignment="1">
      <alignment horizontal="center" vertical="center"/>
    </xf>
    <xf numFmtId="0" fontId="15" fillId="2" borderId="3"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5" xfId="1" applyFont="1" applyFill="1" applyBorder="1" applyAlignment="1">
      <alignment horizontal="center" vertical="center"/>
    </xf>
    <xf numFmtId="0" fontId="15" fillId="2" borderId="3" xfId="1" applyFont="1" applyFill="1" applyBorder="1" applyAlignment="1">
      <alignment horizontal="right" vertical="center" wrapText="1"/>
    </xf>
    <xf numFmtId="0" fontId="15" fillId="2" borderId="4" xfId="1" applyFont="1" applyFill="1" applyBorder="1" applyAlignment="1">
      <alignment horizontal="right" vertical="center" wrapText="1"/>
    </xf>
    <xf numFmtId="0" fontId="15" fillId="2" borderId="5" xfId="1" applyFont="1" applyFill="1" applyBorder="1" applyAlignment="1">
      <alignment horizontal="right" vertical="center" wrapText="1"/>
    </xf>
    <xf numFmtId="4" fontId="19" fillId="2" borderId="0" xfId="1" applyNumberFormat="1" applyFont="1" applyFill="1" applyBorder="1" applyAlignment="1">
      <alignment horizontal="center" vertical="center"/>
    </xf>
    <xf numFmtId="0" fontId="16" fillId="0" borderId="4" xfId="1" applyFont="1" applyBorder="1" applyAlignment="1">
      <alignment horizontal="center" vertical="center"/>
    </xf>
    <xf numFmtId="0" fontId="15" fillId="3" borderId="2" xfId="1" applyFont="1" applyFill="1" applyBorder="1" applyAlignment="1">
      <alignment horizontal="center" vertical="center"/>
    </xf>
    <xf numFmtId="0" fontId="15" fillId="3" borderId="2" xfId="1" applyFont="1" applyFill="1" applyBorder="1" applyAlignment="1">
      <alignment horizontal="center" vertical="center" wrapText="1"/>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3" xfId="1" applyFont="1" applyBorder="1" applyAlignment="1">
      <alignment horizontal="right" vertical="center" wrapText="1"/>
    </xf>
    <xf numFmtId="0" fontId="15" fillId="0" borderId="4" xfId="1" applyFont="1" applyBorder="1" applyAlignment="1">
      <alignment horizontal="right" vertical="center" wrapText="1"/>
    </xf>
    <xf numFmtId="0" fontId="15" fillId="0" borderId="5" xfId="1" applyFont="1" applyBorder="1" applyAlignment="1">
      <alignment horizontal="right" vertical="center" wrapText="1"/>
    </xf>
    <xf numFmtId="0" fontId="16" fillId="2" borderId="3" xfId="1" quotePrefix="1" applyFont="1" applyFill="1" applyBorder="1" applyAlignment="1">
      <alignment horizontal="center" vertical="center"/>
    </xf>
    <xf numFmtId="0" fontId="16" fillId="2" borderId="5" xfId="1" quotePrefix="1" applyFont="1" applyFill="1" applyBorder="1" applyAlignment="1">
      <alignment horizontal="center" vertical="center"/>
    </xf>
    <xf numFmtId="0" fontId="15" fillId="2" borderId="0" xfId="1" applyFont="1" applyFill="1" applyAlignment="1">
      <alignment horizontal="left" vertical="center"/>
    </xf>
    <xf numFmtId="44" fontId="16" fillId="2" borderId="0" xfId="2" applyFont="1" applyFill="1" applyBorder="1" applyAlignment="1">
      <alignment horizontal="left" vertical="center"/>
    </xf>
    <xf numFmtId="4" fontId="19" fillId="2" borderId="0" xfId="1" applyNumberFormat="1" applyFont="1" applyFill="1" applyBorder="1" applyAlignment="1">
      <alignment horizontal="right" vertical="center"/>
    </xf>
    <xf numFmtId="4" fontId="19" fillId="2" borderId="1" xfId="1" applyNumberFormat="1" applyFont="1" applyFill="1" applyBorder="1" applyAlignment="1">
      <alignment horizontal="right" vertical="center"/>
    </xf>
    <xf numFmtId="4" fontId="13" fillId="2" borderId="0" xfId="1" applyNumberFormat="1" applyFont="1" applyFill="1" applyAlignment="1">
      <alignment horizontal="center" vertical="center"/>
    </xf>
    <xf numFmtId="4" fontId="16" fillId="0" borderId="4" xfId="1" applyNumberFormat="1" applyFont="1" applyBorder="1" applyAlignment="1">
      <alignment horizontal="center" vertical="center"/>
    </xf>
    <xf numFmtId="0" fontId="16" fillId="2" borderId="3" xfId="1" applyFont="1" applyFill="1" applyBorder="1" applyAlignment="1">
      <alignment horizontal="center" vertical="center"/>
    </xf>
    <xf numFmtId="0" fontId="16" fillId="2" borderId="5"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5" xfId="1" applyFont="1" applyFill="1" applyBorder="1" applyAlignment="1">
      <alignment horizontal="center" vertical="center"/>
    </xf>
    <xf numFmtId="49" fontId="16" fillId="0" borderId="3" xfId="1" applyNumberFormat="1" applyFont="1" applyBorder="1" applyAlignment="1">
      <alignment horizontal="center" vertical="center"/>
    </xf>
    <xf numFmtId="49" fontId="16" fillId="0" borderId="5" xfId="1" applyNumberFormat="1" applyFont="1" applyBorder="1" applyAlignment="1">
      <alignment horizontal="center" vertical="center"/>
    </xf>
    <xf numFmtId="49" fontId="16" fillId="2" borderId="3" xfId="1" applyNumberFormat="1" applyFont="1" applyFill="1" applyBorder="1" applyAlignment="1">
      <alignment horizontal="center" vertical="center"/>
    </xf>
    <xf numFmtId="49" fontId="16" fillId="2" borderId="5" xfId="1" applyNumberFormat="1" applyFont="1" applyFill="1" applyBorder="1" applyAlignment="1">
      <alignment horizontal="center" vertical="center"/>
    </xf>
    <xf numFmtId="2" fontId="15" fillId="0" borderId="11" xfId="0" applyNumberFormat="1" applyFont="1" applyBorder="1" applyAlignment="1">
      <alignment horizontal="left"/>
    </xf>
    <xf numFmtId="0" fontId="15" fillId="0" borderId="0" xfId="0" applyFont="1" applyBorder="1" applyAlignment="1">
      <alignment horizontal="left"/>
    </xf>
    <xf numFmtId="0" fontId="15" fillId="0" borderId="12" xfId="0" applyFont="1" applyBorder="1" applyAlignment="1">
      <alignment horizontal="left"/>
    </xf>
    <xf numFmtId="0" fontId="15" fillId="0" borderId="0" xfId="0" applyFont="1" applyBorder="1" applyAlignment="1">
      <alignment horizontal="left" wrapText="1"/>
    </xf>
    <xf numFmtId="0" fontId="15" fillId="0" borderId="12" xfId="0" applyFont="1" applyBorder="1" applyAlignment="1">
      <alignment horizontal="left" wrapText="1"/>
    </xf>
    <xf numFmtId="0" fontId="15" fillId="0" borderId="11" xfId="0" applyFont="1" applyBorder="1" applyAlignment="1">
      <alignment horizontal="left" wrapText="1"/>
    </xf>
    <xf numFmtId="0" fontId="17" fillId="0" borderId="11" xfId="0" applyFont="1" applyBorder="1" applyAlignment="1">
      <alignment horizontal="left"/>
    </xf>
    <xf numFmtId="0" fontId="17" fillId="0" borderId="0" xfId="0" applyFont="1" applyBorder="1" applyAlignment="1">
      <alignment horizontal="left"/>
    </xf>
    <xf numFmtId="0" fontId="17" fillId="0" borderId="12" xfId="0" applyFont="1" applyBorder="1" applyAlignment="1">
      <alignment horizontal="left"/>
    </xf>
    <xf numFmtId="0" fontId="15" fillId="0" borderId="0" xfId="0" applyFont="1" applyFill="1" applyBorder="1" applyAlignment="1">
      <alignment horizontal="left" wrapText="1"/>
    </xf>
    <xf numFmtId="0" fontId="15" fillId="0" borderId="12" xfId="0" applyFont="1" applyFill="1" applyBorder="1" applyAlignment="1">
      <alignment horizontal="left" wrapText="1"/>
    </xf>
    <xf numFmtId="0" fontId="15" fillId="0" borderId="11" xfId="0" applyFont="1" applyBorder="1" applyAlignment="1">
      <alignment horizontal="left"/>
    </xf>
    <xf numFmtId="0" fontId="19" fillId="0" borderId="0" xfId="0" applyFont="1" applyBorder="1" applyAlignment="1">
      <alignment horizontal="left" wrapText="1"/>
    </xf>
    <xf numFmtId="0" fontId="19" fillId="0" borderId="12" xfId="0" applyFont="1" applyBorder="1" applyAlignment="1">
      <alignment horizontal="left" wrapText="1"/>
    </xf>
    <xf numFmtId="2" fontId="15" fillId="2" borderId="11" xfId="1" applyNumberFormat="1" applyFont="1" applyFill="1" applyBorder="1" applyAlignment="1">
      <alignment horizontal="left" vertical="center"/>
    </xf>
    <xf numFmtId="2" fontId="15" fillId="2" borderId="0" xfId="1" applyNumberFormat="1" applyFont="1" applyFill="1" applyBorder="1" applyAlignment="1">
      <alignment horizontal="left" vertical="center"/>
    </xf>
    <xf numFmtId="0" fontId="15" fillId="2" borderId="11" xfId="1" applyFont="1" applyFill="1" applyBorder="1" applyAlignment="1">
      <alignment horizontal="left" vertical="center"/>
    </xf>
    <xf numFmtId="0" fontId="15" fillId="2" borderId="0" xfId="1" applyFont="1" applyFill="1" applyBorder="1" applyAlignment="1">
      <alignment horizontal="left"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0" xfId="1" applyFont="1" applyFill="1" applyBorder="1" applyAlignment="1">
      <alignment horizontal="center" vertical="center"/>
    </xf>
    <xf numFmtId="0" fontId="14" fillId="0" borderId="13" xfId="0" applyFont="1" applyBorder="1" applyAlignment="1">
      <alignment horizontal="center"/>
    </xf>
    <xf numFmtId="0" fontId="14" fillId="0" borderId="1" xfId="0" applyFont="1" applyBorder="1" applyAlignment="1">
      <alignment horizontal="center"/>
    </xf>
    <xf numFmtId="0" fontId="14" fillId="0" borderId="7" xfId="0" applyFont="1" applyBorder="1" applyAlignment="1">
      <alignment horizontal="center"/>
    </xf>
    <xf numFmtId="44" fontId="15" fillId="0" borderId="0" xfId="2" applyFont="1" applyFill="1" applyBorder="1" applyAlignment="1">
      <alignment horizontal="center" vertical="center"/>
    </xf>
    <xf numFmtId="44" fontId="15" fillId="0" borderId="12" xfId="2" applyFont="1" applyFill="1" applyBorder="1" applyAlignment="1">
      <alignment horizontal="center" vertical="center"/>
    </xf>
    <xf numFmtId="44" fontId="16" fillId="0" borderId="0" xfId="2" applyFont="1" applyFill="1" applyBorder="1" applyAlignment="1">
      <alignment horizontal="right" vertical="center"/>
    </xf>
    <xf numFmtId="44" fontId="16" fillId="0" borderId="12" xfId="2" applyFont="1" applyFill="1" applyBorder="1" applyAlignment="1">
      <alignment horizontal="right" vertical="center"/>
    </xf>
    <xf numFmtId="164" fontId="15" fillId="2" borderId="0" xfId="3" applyFont="1" applyFill="1" applyBorder="1" applyAlignment="1">
      <alignment horizontal="center" vertical="center"/>
    </xf>
    <xf numFmtId="0" fontId="17" fillId="0" borderId="8" xfId="0" applyFont="1" applyBorder="1" applyAlignment="1">
      <alignment horizontal="left"/>
    </xf>
    <xf numFmtId="0" fontId="17" fillId="0" borderId="9" xfId="0" applyFont="1" applyBorder="1" applyAlignment="1">
      <alignment horizontal="left"/>
    </xf>
    <xf numFmtId="0" fontId="17" fillId="0" borderId="10" xfId="0" applyFont="1" applyBorder="1" applyAlignment="1">
      <alignment horizontal="left"/>
    </xf>
    <xf numFmtId="0" fontId="19" fillId="0" borderId="11" xfId="0" applyFont="1" applyBorder="1" applyAlignment="1">
      <alignment horizontal="left"/>
    </xf>
    <xf numFmtId="0" fontId="19" fillId="0" borderId="0" xfId="0" applyFont="1" applyBorder="1" applyAlignment="1">
      <alignment horizontal="left"/>
    </xf>
    <xf numFmtId="0" fontId="19" fillId="0" borderId="12" xfId="0" applyFont="1" applyBorder="1" applyAlignment="1">
      <alignment horizontal="left"/>
    </xf>
    <xf numFmtId="0" fontId="19" fillId="0" borderId="11" xfId="0" applyFont="1" applyBorder="1" applyAlignment="1">
      <alignment horizontal="left" wrapText="1"/>
    </xf>
    <xf numFmtId="1" fontId="24" fillId="0" borderId="16" xfId="4" applyNumberFormat="1" applyFont="1" applyBorder="1" applyAlignment="1">
      <alignment horizontal="center" vertical="center"/>
    </xf>
    <xf numFmtId="1" fontId="24" fillId="0" borderId="17" xfId="4" applyNumberFormat="1" applyFont="1" applyBorder="1" applyAlignment="1">
      <alignment horizontal="center" vertical="center"/>
    </xf>
    <xf numFmtId="0" fontId="24" fillId="0" borderId="15" xfId="4" applyFont="1" applyBorder="1" applyAlignment="1">
      <alignment horizontal="center" vertical="center" wrapText="1"/>
    </xf>
    <xf numFmtId="0" fontId="24" fillId="0" borderId="6" xfId="4" applyFont="1" applyBorder="1" applyAlignment="1">
      <alignment horizontal="center" vertical="center" wrapText="1"/>
    </xf>
    <xf numFmtId="4" fontId="25" fillId="0" borderId="15" xfId="3" applyNumberFormat="1" applyFont="1" applyBorder="1" applyAlignment="1">
      <alignment horizontal="center" vertical="center"/>
    </xf>
    <xf numFmtId="4" fontId="25" fillId="0" borderId="6" xfId="3" applyNumberFormat="1" applyFont="1" applyBorder="1" applyAlignment="1">
      <alignment horizontal="center" vertical="center"/>
    </xf>
    <xf numFmtId="0" fontId="24" fillId="4" borderId="2" xfId="4" applyFont="1" applyFill="1" applyBorder="1" applyAlignment="1">
      <alignment horizontal="center" vertical="center"/>
    </xf>
    <xf numFmtId="168" fontId="24" fillId="4" borderId="2" xfId="3" applyNumberFormat="1" applyFont="1" applyFill="1" applyBorder="1" applyAlignment="1">
      <alignment horizontal="center" vertical="center"/>
    </xf>
    <xf numFmtId="4" fontId="24" fillId="0" borderId="16" xfId="4" applyNumberFormat="1" applyFont="1" applyBorder="1" applyAlignment="1">
      <alignment horizontal="center" vertical="center" wrapText="1"/>
    </xf>
    <xf numFmtId="0" fontId="24" fillId="0" borderId="17" xfId="4" applyFont="1" applyBorder="1" applyAlignment="1">
      <alignment horizontal="center" vertical="center" wrapText="1"/>
    </xf>
    <xf numFmtId="0" fontId="13" fillId="7" borderId="11" xfId="4" applyFont="1" applyFill="1" applyBorder="1" applyAlignment="1">
      <alignment horizontal="center" vertical="center"/>
    </xf>
    <xf numFmtId="0" fontId="13" fillId="7" borderId="0" xfId="4" applyFont="1" applyFill="1" applyBorder="1" applyAlignment="1">
      <alignment horizontal="center" vertical="center"/>
    </xf>
    <xf numFmtId="0" fontId="24" fillId="6" borderId="8" xfId="4" applyFont="1" applyFill="1" applyBorder="1" applyAlignment="1">
      <alignment horizontal="center" vertical="center"/>
    </xf>
    <xf numFmtId="0" fontId="24" fillId="6" borderId="9" xfId="4" applyFont="1" applyFill="1" applyBorder="1" applyAlignment="1">
      <alignment horizontal="center" vertical="center"/>
    </xf>
    <xf numFmtId="0" fontId="15" fillId="7" borderId="11" xfId="4" applyFont="1" applyFill="1" applyBorder="1" applyAlignment="1">
      <alignment horizontal="left" vertical="center"/>
    </xf>
    <xf numFmtId="0" fontId="15" fillId="7" borderId="0" xfId="4" applyFont="1" applyFill="1" applyAlignment="1">
      <alignment horizontal="left" vertical="center"/>
    </xf>
    <xf numFmtId="0" fontId="15" fillId="7" borderId="13" xfId="4" applyFont="1" applyFill="1" applyBorder="1" applyAlignment="1">
      <alignment horizontal="left" vertical="center" wrapText="1"/>
    </xf>
    <xf numFmtId="0" fontId="15" fillId="7" borderId="1" xfId="4" applyFont="1" applyFill="1" applyBorder="1" applyAlignment="1">
      <alignment horizontal="left" vertical="center" wrapText="1"/>
    </xf>
    <xf numFmtId="0" fontId="24" fillId="6" borderId="2" xfId="4" applyFont="1" applyFill="1" applyBorder="1" applyAlignment="1">
      <alignment horizontal="center" vertical="center"/>
    </xf>
    <xf numFmtId="164" fontId="24" fillId="6" borderId="2" xfId="3" applyFont="1" applyFill="1" applyBorder="1" applyAlignment="1">
      <alignment horizontal="center" vertical="center"/>
    </xf>
    <xf numFmtId="0" fontId="15" fillId="0" borderId="2" xfId="4" applyFont="1" applyBorder="1" applyAlignment="1">
      <alignment horizontal="right"/>
    </xf>
    <xf numFmtId="0" fontId="16" fillId="0" borderId="2" xfId="4" applyFont="1" applyBorder="1" applyAlignment="1">
      <alignment horizontal="center"/>
    </xf>
    <xf numFmtId="0" fontId="15" fillId="0" borderId="2" xfId="4" applyFont="1" applyBorder="1" applyAlignment="1">
      <alignment horizontal="left"/>
    </xf>
    <xf numFmtId="172" fontId="16" fillId="0" borderId="2" xfId="4" applyNumberFormat="1" applyFont="1" applyBorder="1" applyAlignment="1">
      <alignment horizontal="left" vertical="top" wrapText="1"/>
    </xf>
    <xf numFmtId="44" fontId="15" fillId="0" borderId="2" xfId="12" applyFont="1" applyBorder="1" applyAlignment="1">
      <alignment horizontal="right"/>
    </xf>
    <xf numFmtId="0" fontId="16" fillId="0" borderId="3" xfId="4" applyFont="1" applyBorder="1" applyAlignment="1">
      <alignment horizontal="center"/>
    </xf>
    <xf numFmtId="0" fontId="16" fillId="0" borderId="4" xfId="4" applyFont="1" applyBorder="1" applyAlignment="1">
      <alignment horizontal="center"/>
    </xf>
    <xf numFmtId="0" fontId="16" fillId="0" borderId="5" xfId="4" applyFont="1" applyBorder="1" applyAlignment="1">
      <alignment horizontal="center"/>
    </xf>
    <xf numFmtId="0" fontId="15" fillId="0" borderId="3" xfId="4" applyFont="1" applyBorder="1" applyAlignment="1">
      <alignment horizontal="left"/>
    </xf>
    <xf numFmtId="0" fontId="15" fillId="0" borderId="4" xfId="4" applyFont="1" applyBorder="1" applyAlignment="1">
      <alignment horizontal="left"/>
    </xf>
    <xf numFmtId="0" fontId="15" fillId="0" borderId="5" xfId="4" applyFont="1" applyBorder="1" applyAlignment="1">
      <alignment horizontal="left"/>
    </xf>
    <xf numFmtId="172" fontId="16" fillId="0" borderId="8" xfId="4" applyNumberFormat="1" applyFont="1" applyBorder="1" applyAlignment="1">
      <alignment horizontal="left" vertical="top" wrapText="1"/>
    </xf>
    <xf numFmtId="172" fontId="16" fillId="0" borderId="9" xfId="4" applyNumberFormat="1" applyFont="1" applyBorder="1" applyAlignment="1">
      <alignment horizontal="left" vertical="top" wrapText="1"/>
    </xf>
    <xf numFmtId="172" fontId="16" fillId="0" borderId="10" xfId="4" applyNumberFormat="1" applyFont="1" applyBorder="1" applyAlignment="1">
      <alignment horizontal="left" vertical="top" wrapText="1"/>
    </xf>
    <xf numFmtId="172" fontId="16" fillId="0" borderId="11" xfId="4" applyNumberFormat="1" applyFont="1" applyBorder="1" applyAlignment="1">
      <alignment horizontal="left" vertical="top" wrapText="1"/>
    </xf>
    <xf numFmtId="172" fontId="16" fillId="0" borderId="0" xfId="4" applyNumberFormat="1" applyFont="1" applyBorder="1" applyAlignment="1">
      <alignment horizontal="left" vertical="top" wrapText="1"/>
    </xf>
    <xf numFmtId="172" fontId="16" fillId="0" borderId="12" xfId="4" applyNumberFormat="1" applyFont="1" applyBorder="1" applyAlignment="1">
      <alignment horizontal="left" vertical="top" wrapText="1"/>
    </xf>
    <xf numFmtId="172" fontId="16" fillId="0" borderId="13" xfId="4" applyNumberFormat="1" applyFont="1" applyBorder="1" applyAlignment="1">
      <alignment horizontal="left" vertical="top" wrapText="1"/>
    </xf>
    <xf numFmtId="172" fontId="16" fillId="0" borderId="1" xfId="4" applyNumberFormat="1" applyFont="1" applyBorder="1" applyAlignment="1">
      <alignment horizontal="left" vertical="top" wrapText="1"/>
    </xf>
    <xf numFmtId="172" fontId="16" fillId="0" borderId="7" xfId="4" applyNumberFormat="1" applyFont="1" applyBorder="1" applyAlignment="1">
      <alignment horizontal="left" vertical="top" wrapText="1"/>
    </xf>
    <xf numFmtId="44" fontId="15" fillId="0" borderId="3" xfId="12" applyFont="1" applyBorder="1" applyAlignment="1">
      <alignment horizontal="right"/>
    </xf>
    <xf numFmtId="44" fontId="15" fillId="0" borderId="5" xfId="12" applyFont="1" applyBorder="1" applyAlignment="1">
      <alignment horizontal="right"/>
    </xf>
    <xf numFmtId="0" fontId="15" fillId="8" borderId="3" xfId="4" applyFont="1" applyFill="1" applyBorder="1" applyAlignment="1">
      <alignment horizontal="left" vertical="center" wrapText="1"/>
    </xf>
    <xf numFmtId="0" fontId="15" fillId="8" borderId="4" xfId="4" applyFont="1" applyFill="1" applyBorder="1" applyAlignment="1">
      <alignment horizontal="left" vertical="center" wrapText="1"/>
    </xf>
    <xf numFmtId="0" fontId="15" fillId="8" borderId="5" xfId="4" applyFont="1" applyFill="1" applyBorder="1" applyAlignment="1">
      <alignment horizontal="left" vertical="center" wrapText="1"/>
    </xf>
    <xf numFmtId="0" fontId="15" fillId="0" borderId="2" xfId="4" applyFont="1" applyBorder="1" applyAlignment="1">
      <alignment horizontal="center"/>
    </xf>
    <xf numFmtId="0" fontId="15" fillId="0" borderId="3" xfId="4" applyFont="1" applyBorder="1" applyAlignment="1">
      <alignment horizontal="right"/>
    </xf>
    <xf numFmtId="0" fontId="15" fillId="0" borderId="4" xfId="4" applyFont="1" applyBorder="1" applyAlignment="1">
      <alignment horizontal="right"/>
    </xf>
    <xf numFmtId="0" fontId="15" fillId="0" borderId="3" xfId="4" applyFont="1" applyBorder="1" applyAlignment="1">
      <alignment horizontal="center"/>
    </xf>
    <xf numFmtId="0" fontId="15" fillId="0" borderId="4" xfId="4" applyFont="1" applyBorder="1" applyAlignment="1">
      <alignment horizontal="center"/>
    </xf>
    <xf numFmtId="0" fontId="15" fillId="0" borderId="5" xfId="4" applyFont="1" applyBorder="1" applyAlignment="1">
      <alignment horizontal="center"/>
    </xf>
    <xf numFmtId="0" fontId="15" fillId="8" borderId="3" xfId="4" applyFont="1" applyFill="1" applyBorder="1" applyAlignment="1">
      <alignment horizontal="left" vertical="top" wrapText="1"/>
    </xf>
    <xf numFmtId="0" fontId="15" fillId="8" borderId="4" xfId="4" applyFont="1" applyFill="1" applyBorder="1" applyAlignment="1">
      <alignment horizontal="left" vertical="top" wrapText="1"/>
    </xf>
    <xf numFmtId="0" fontId="15" fillId="8" borderId="5" xfId="4" applyFont="1" applyFill="1" applyBorder="1" applyAlignment="1">
      <alignment horizontal="left" vertical="top" wrapText="1"/>
    </xf>
    <xf numFmtId="0" fontId="16" fillId="0" borderId="8" xfId="4" applyFont="1" applyBorder="1" applyAlignment="1">
      <alignment horizontal="center"/>
    </xf>
    <xf numFmtId="0" fontId="16" fillId="0" borderId="9" xfId="4" applyFont="1" applyBorder="1" applyAlignment="1">
      <alignment horizontal="center"/>
    </xf>
    <xf numFmtId="0" fontId="16" fillId="0" borderId="10" xfId="4" applyFont="1" applyBorder="1" applyAlignment="1">
      <alignment horizontal="center"/>
    </xf>
    <xf numFmtId="0" fontId="29" fillId="2" borderId="8" xfId="1" applyFont="1" applyFill="1" applyBorder="1" applyAlignment="1">
      <alignment horizontal="center" vertical="center"/>
    </xf>
    <xf numFmtId="0" fontId="29" fillId="2" borderId="9" xfId="1" applyFont="1" applyFill="1" applyBorder="1" applyAlignment="1">
      <alignment horizontal="center" vertical="center"/>
    </xf>
    <xf numFmtId="4" fontId="16" fillId="2" borderId="0" xfId="1" applyNumberFormat="1" applyFont="1" applyFill="1" applyBorder="1" applyAlignment="1">
      <alignment horizontal="left" vertical="center"/>
    </xf>
    <xf numFmtId="4" fontId="16" fillId="2" borderId="12" xfId="1" applyNumberFormat="1" applyFont="1" applyFill="1" applyBorder="1" applyAlignment="1">
      <alignment horizontal="left" vertical="center"/>
    </xf>
    <xf numFmtId="0" fontId="2" fillId="0" borderId="3" xfId="4" applyFont="1" applyBorder="1" applyAlignment="1">
      <alignment horizontal="center"/>
    </xf>
    <xf numFmtId="0" fontId="2" fillId="0" borderId="4" xfId="4" applyFont="1" applyBorder="1" applyAlignment="1">
      <alignment horizontal="center"/>
    </xf>
    <xf numFmtId="0" fontId="2" fillId="0" borderId="5" xfId="4" applyFont="1" applyBorder="1" applyAlignment="1">
      <alignment horizontal="center"/>
    </xf>
    <xf numFmtId="0" fontId="16" fillId="0" borderId="8" xfId="4" applyFont="1" applyBorder="1" applyAlignment="1">
      <alignment horizontal="left" vertical="top" wrapText="1"/>
    </xf>
    <xf numFmtId="0" fontId="16" fillId="0" borderId="9" xfId="4" applyFont="1" applyBorder="1" applyAlignment="1">
      <alignment horizontal="left" vertical="top" wrapText="1"/>
    </xf>
    <xf numFmtId="0" fontId="16" fillId="0" borderId="10" xfId="4" applyFont="1" applyBorder="1" applyAlignment="1">
      <alignment horizontal="left" vertical="top" wrapText="1"/>
    </xf>
    <xf numFmtId="0" fontId="16" fillId="0" borderId="11" xfId="4" applyFont="1" applyBorder="1" applyAlignment="1">
      <alignment horizontal="left" vertical="top" wrapText="1"/>
    </xf>
    <xf numFmtId="0" fontId="16" fillId="0" borderId="0" xfId="4" applyFont="1" applyBorder="1" applyAlignment="1">
      <alignment horizontal="left" vertical="top" wrapText="1"/>
    </xf>
    <xf numFmtId="0" fontId="16" fillId="0" borderId="12" xfId="4" applyFont="1" applyBorder="1" applyAlignment="1">
      <alignment horizontal="left" vertical="top" wrapText="1"/>
    </xf>
    <xf numFmtId="0" fontId="16" fillId="0" borderId="13" xfId="4" applyFont="1" applyBorder="1" applyAlignment="1">
      <alignment horizontal="left" vertical="top" wrapText="1"/>
    </xf>
    <xf numFmtId="0" fontId="16" fillId="0" borderId="1" xfId="4" applyFont="1" applyBorder="1" applyAlignment="1">
      <alignment horizontal="left" vertical="top" wrapText="1"/>
    </xf>
    <xf numFmtId="0" fontId="16" fillId="0" borderId="7" xfId="4" applyFont="1" applyBorder="1" applyAlignment="1">
      <alignment horizontal="left" vertical="top" wrapText="1"/>
    </xf>
    <xf numFmtId="0" fontId="15" fillId="0" borderId="0" xfId="6" applyFont="1"/>
    <xf numFmtId="10" fontId="23" fillId="10" borderId="8" xfId="7" applyNumberFormat="1" applyFont="1" applyFill="1" applyBorder="1" applyAlignment="1" applyProtection="1">
      <alignment horizontal="center" vertical="center" wrapText="1"/>
    </xf>
    <xf numFmtId="10" fontId="23" fillId="10" borderId="10" xfId="7" applyNumberFormat="1" applyFont="1" applyFill="1" applyBorder="1" applyAlignment="1" applyProtection="1">
      <alignment horizontal="center" vertical="center" wrapText="1"/>
    </xf>
    <xf numFmtId="10" fontId="23" fillId="10" borderId="13" xfId="7" applyNumberFormat="1" applyFont="1" applyFill="1" applyBorder="1" applyAlignment="1" applyProtection="1">
      <alignment horizontal="center" vertical="center" wrapText="1"/>
    </xf>
    <xf numFmtId="10" fontId="23" fillId="10" borderId="7" xfId="7" applyNumberFormat="1" applyFont="1" applyFill="1" applyBorder="1" applyAlignment="1" applyProtection="1">
      <alignment horizontal="center" vertical="center" wrapText="1"/>
    </xf>
    <xf numFmtId="0" fontId="28" fillId="0" borderId="0" xfId="5" applyFont="1" applyAlignment="1">
      <alignment horizontal="center"/>
    </xf>
    <xf numFmtId="10" fontId="24" fillId="9" borderId="0" xfId="5" applyNumberFormat="1" applyFont="1" applyFill="1" applyAlignment="1" applyProtection="1">
      <alignment vertical="center" wrapText="1"/>
      <protection locked="0"/>
    </xf>
    <xf numFmtId="0" fontId="16" fillId="0" borderId="2" xfId="4" applyFont="1" applyBorder="1" applyAlignment="1">
      <alignment horizontal="center" vertical="center" wrapText="1"/>
    </xf>
    <xf numFmtId="0" fontId="15" fillId="0" borderId="2" xfId="4" applyFont="1" applyBorder="1" applyAlignment="1">
      <alignment horizontal="right" wrapText="1"/>
    </xf>
    <xf numFmtId="0" fontId="15" fillId="0" borderId="2" xfId="4" applyFont="1" applyBorder="1" applyAlignment="1">
      <alignment horizontal="center" wrapText="1"/>
    </xf>
    <xf numFmtId="0" fontId="16" fillId="0" borderId="2" xfId="4" applyFont="1" applyBorder="1" applyAlignment="1">
      <alignment horizontal="right"/>
    </xf>
    <xf numFmtId="1" fontId="24" fillId="8" borderId="2" xfId="9" applyNumberFormat="1" applyFont="1" applyFill="1" applyBorder="1" applyAlignment="1">
      <alignment horizontal="left"/>
    </xf>
    <xf numFmtId="1" fontId="25" fillId="8" borderId="2" xfId="9" applyNumberFormat="1" applyFont="1" applyFill="1" applyBorder="1" applyAlignment="1">
      <alignment horizontal="left"/>
    </xf>
    <xf numFmtId="0" fontId="16" fillId="0" borderId="3" xfId="1" applyFont="1" applyBorder="1" applyAlignment="1">
      <alignment horizontal="center"/>
    </xf>
    <xf numFmtId="0" fontId="16" fillId="0" borderId="4" xfId="1" applyFont="1" applyBorder="1" applyAlignment="1">
      <alignment horizontal="center"/>
    </xf>
    <xf numFmtId="0" fontId="16" fillId="0" borderId="5" xfId="1" applyFont="1" applyBorder="1" applyAlignment="1">
      <alignment horizontal="center"/>
    </xf>
    <xf numFmtId="1" fontId="25" fillId="8" borderId="3" xfId="9" applyNumberFormat="1" applyFont="1" applyFill="1" applyBorder="1" applyAlignment="1">
      <alignment horizontal="left"/>
    </xf>
    <xf numFmtId="1" fontId="25" fillId="8" borderId="4" xfId="9" applyNumberFormat="1" applyFont="1" applyFill="1" applyBorder="1" applyAlignment="1">
      <alignment horizontal="left"/>
    </xf>
    <xf numFmtId="1" fontId="25" fillId="8" borderId="5" xfId="9" applyNumberFormat="1" applyFont="1" applyFill="1" applyBorder="1" applyAlignment="1">
      <alignment horizontal="left"/>
    </xf>
    <xf numFmtId="1" fontId="24" fillId="8" borderId="3" xfId="9" applyNumberFormat="1" applyFont="1" applyFill="1" applyBorder="1" applyAlignment="1">
      <alignment horizontal="left"/>
    </xf>
    <xf numFmtId="1" fontId="24" fillId="8" borderId="4" xfId="9" applyNumberFormat="1" applyFont="1" applyFill="1" applyBorder="1" applyAlignment="1">
      <alignment horizontal="left"/>
    </xf>
    <xf numFmtId="1" fontId="24" fillId="8" borderId="5" xfId="9" applyNumberFormat="1" applyFont="1" applyFill="1" applyBorder="1" applyAlignment="1">
      <alignment horizontal="left"/>
    </xf>
    <xf numFmtId="0" fontId="16" fillId="0" borderId="2" xfId="1" applyFont="1" applyBorder="1" applyAlignment="1">
      <alignment horizontal="center"/>
    </xf>
    <xf numFmtId="0" fontId="16" fillId="0" borderId="2" xfId="4" applyFont="1" applyBorder="1" applyAlignment="1">
      <alignment horizontal="center" vertical="center"/>
    </xf>
    <xf numFmtId="1" fontId="25" fillId="8" borderId="2" xfId="9" applyNumberFormat="1" applyFont="1" applyFill="1" applyBorder="1" applyAlignment="1">
      <alignment horizontal="left" wrapText="1"/>
    </xf>
    <xf numFmtId="0" fontId="28" fillId="8" borderId="3" xfId="9" applyFont="1" applyFill="1" applyBorder="1" applyAlignment="1">
      <alignment horizontal="center" vertical="center" wrapText="1"/>
    </xf>
    <xf numFmtId="0" fontId="28" fillId="8" borderId="4" xfId="9" applyFont="1" applyFill="1" applyBorder="1" applyAlignment="1">
      <alignment horizontal="center" vertical="center" wrapText="1"/>
    </xf>
    <xf numFmtId="0" fontId="28" fillId="8" borderId="5" xfId="9" applyFont="1" applyFill="1" applyBorder="1" applyAlignment="1">
      <alignment horizontal="center" vertical="center" wrapText="1"/>
    </xf>
    <xf numFmtId="1" fontId="16" fillId="8" borderId="2" xfId="9" applyNumberFormat="1" applyFont="1" applyFill="1" applyBorder="1" applyAlignment="1">
      <alignment horizontal="left"/>
    </xf>
    <xf numFmtId="1" fontId="25" fillId="0" borderId="2" xfId="9" applyNumberFormat="1" applyFont="1" applyBorder="1" applyAlignment="1">
      <alignment horizontal="left" vertical="center"/>
    </xf>
    <xf numFmtId="1" fontId="25" fillId="2" borderId="2" xfId="9" applyNumberFormat="1" applyFont="1" applyFill="1" applyBorder="1" applyAlignment="1">
      <alignment horizontal="center"/>
    </xf>
    <xf numFmtId="0" fontId="15" fillId="2" borderId="2" xfId="1" applyFont="1" applyFill="1" applyBorder="1" applyAlignment="1">
      <alignment horizontal="center" vertical="center"/>
    </xf>
  </cellXfs>
  <cellStyles count="13">
    <cellStyle name="Hiperlink 2" xfId="10" xr:uid="{01658ABB-97D0-4EC9-A4E5-F11BD0C3338F}"/>
    <cellStyle name="Moeda" xfId="12" builtinId="4"/>
    <cellStyle name="Moeda 2" xfId="2" xr:uid="{7AF8B56D-9986-4B8C-9901-613635DD6B99}"/>
    <cellStyle name="Normal" xfId="0" builtinId="0"/>
    <cellStyle name="Normal 2" xfId="1" xr:uid="{611783AC-22EF-412E-87C7-94E47C8E7424}"/>
    <cellStyle name="Normal 2 2" xfId="6" xr:uid="{A07B5065-E72F-43BD-B510-E7EC2795E6B2}"/>
    <cellStyle name="Normal 3 2" xfId="4" xr:uid="{B83AA329-C052-4AB5-A5D2-6CA8C62D954D}"/>
    <cellStyle name="Normal 4 4" xfId="9" xr:uid="{BB0AC0FA-C890-434C-A2BB-EB1329657A79}"/>
    <cellStyle name="Normal 9" xfId="5" xr:uid="{04EE2241-F048-4107-A000-FC937575C687}"/>
    <cellStyle name="Porcentagem" xfId="11" builtinId="5"/>
    <cellStyle name="Porcentagem 2 2 3" xfId="8" xr:uid="{A4D99CCA-072F-4B43-AF53-0DA1D5403A0B}"/>
    <cellStyle name="Porcentagem 2 4" xfId="7" xr:uid="{39E85450-89C6-478B-818E-81ECFFDB39A5}"/>
    <cellStyle name="Vírgula 2" xfId="3" xr:uid="{2ACEDD28-2547-4A8C-BF65-AB137A0B3F1E}"/>
  </cellStyles>
  <dxfs count="2">
    <dxf>
      <font>
        <condense val="0"/>
        <extend val="0"/>
        <color indexed="12"/>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or%20Dominicini/Downloads/Modelo%20de%20Detalhamento%20do%20%20BDI%20V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hamento do BDI"/>
      <sheetName val="Auxiliar"/>
    </sheetNames>
    <sheetDataSet>
      <sheetData sheetId="0" refreshError="1"/>
      <sheetData sheetId="1" refreshError="1">
        <row r="17">
          <cell r="A17" t="str">
            <v>Atende</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hyperlink" Target="https://api.whatsapp.com/send?phone=55119965216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30C3D-372B-4127-A386-7315663E7D19}">
  <dimension ref="A1:E36"/>
  <sheetViews>
    <sheetView showGridLines="0" tabSelected="1" showRuler="0" view="pageBreakPreview" zoomScaleNormal="100" zoomScaleSheetLayoutView="100" zoomScalePageLayoutView="70" workbookViewId="0">
      <selection activeCell="B13" sqref="B13:B14"/>
    </sheetView>
  </sheetViews>
  <sheetFormatPr defaultColWidth="10.7109375" defaultRowHeight="15" customHeight="1" x14ac:dyDescent="0.25"/>
  <cols>
    <col min="1" max="1" width="17.85546875" style="220" bestFit="1" customWidth="1"/>
    <col min="2" max="2" width="82.140625" style="220" customWidth="1"/>
    <col min="3" max="3" width="10.7109375" style="220" customWidth="1"/>
    <col min="4" max="4" width="40.7109375" style="220" customWidth="1"/>
    <col min="5" max="16384" width="10.7109375" style="220"/>
  </cols>
  <sheetData>
    <row r="1" spans="1:5" ht="15" customHeight="1" x14ac:dyDescent="0.25">
      <c r="A1" s="352" t="s">
        <v>233</v>
      </c>
      <c r="B1" s="353"/>
      <c r="C1" s="353"/>
      <c r="D1" s="354"/>
    </row>
    <row r="2" spans="1:5" ht="15" customHeight="1" x14ac:dyDescent="0.25">
      <c r="A2" s="355" t="s">
        <v>721</v>
      </c>
      <c r="B2" s="356"/>
      <c r="C2" s="234"/>
      <c r="D2" s="235"/>
    </row>
    <row r="3" spans="1:5" ht="15" customHeight="1" x14ac:dyDescent="0.25">
      <c r="A3" s="355" t="s">
        <v>724</v>
      </c>
      <c r="B3" s="356"/>
      <c r="C3" s="234"/>
      <c r="D3" s="236" t="s">
        <v>769</v>
      </c>
    </row>
    <row r="4" spans="1:5" s="225" customFormat="1" ht="15" customHeight="1" x14ac:dyDescent="0.25">
      <c r="A4" s="237" t="s">
        <v>725</v>
      </c>
      <c r="B4" s="238" t="s">
        <v>1</v>
      </c>
      <c r="C4" s="234"/>
      <c r="D4" s="239"/>
    </row>
    <row r="5" spans="1:5" ht="15" customHeight="1" x14ac:dyDescent="0.25">
      <c r="A5" s="357" t="s">
        <v>3</v>
      </c>
      <c r="B5" s="357" t="s">
        <v>234</v>
      </c>
      <c r="C5" s="357" t="s">
        <v>235</v>
      </c>
      <c r="D5" s="358" t="s">
        <v>236</v>
      </c>
    </row>
    <row r="6" spans="1:5" ht="15" customHeight="1" x14ac:dyDescent="0.25">
      <c r="A6" s="357"/>
      <c r="B6" s="357"/>
      <c r="C6" s="357"/>
      <c r="D6" s="358"/>
    </row>
    <row r="7" spans="1:5" ht="15" customHeight="1" x14ac:dyDescent="0.25">
      <c r="A7" s="350">
        <v>1</v>
      </c>
      <c r="B7" s="351" t="str">
        <f>'Planilha Orçamentária'!D8</f>
        <v>SERVIÇOS PRELIMINARES</v>
      </c>
      <c r="C7" s="342">
        <f>D7/$C$23</f>
        <v>9.2031097111758609E-2</v>
      </c>
      <c r="D7" s="349">
        <f>'Planilha Orçamentária'!H20</f>
        <v>26699.31</v>
      </c>
    </row>
    <row r="8" spans="1:5" ht="15" customHeight="1" x14ac:dyDescent="0.25">
      <c r="A8" s="350"/>
      <c r="B8" s="351"/>
      <c r="C8" s="343"/>
      <c r="D8" s="349"/>
    </row>
    <row r="9" spans="1:5" ht="15" customHeight="1" x14ac:dyDescent="0.25">
      <c r="A9" s="350">
        <v>2</v>
      </c>
      <c r="B9" s="351" t="str">
        <f>'Planilha Orçamentária'!D22</f>
        <v>ESTRUTURAL</v>
      </c>
      <c r="C9" s="342">
        <f>D9/$C$23</f>
        <v>0.21649892732743786</v>
      </c>
      <c r="D9" s="349">
        <f>'Planilha Orçamentária'!H52</f>
        <v>62808.9</v>
      </c>
    </row>
    <row r="10" spans="1:5" ht="15" customHeight="1" x14ac:dyDescent="0.25">
      <c r="A10" s="350"/>
      <c r="B10" s="351"/>
      <c r="C10" s="343"/>
      <c r="D10" s="349"/>
    </row>
    <row r="11" spans="1:5" ht="15" customHeight="1" x14ac:dyDescent="0.25">
      <c r="A11" s="350">
        <v>3</v>
      </c>
      <c r="B11" s="351" t="str">
        <f>'Planilha Orçamentária'!D54</f>
        <v>PLAYGROUND</v>
      </c>
      <c r="C11" s="342">
        <f>D11/$C$23</f>
        <v>0.21921450083576396</v>
      </c>
      <c r="D11" s="349">
        <f>'Planilha Orçamentária'!H65</f>
        <v>63596.72</v>
      </c>
    </row>
    <row r="12" spans="1:5" ht="15" customHeight="1" x14ac:dyDescent="0.25">
      <c r="A12" s="350"/>
      <c r="B12" s="351"/>
      <c r="C12" s="343"/>
      <c r="D12" s="349"/>
    </row>
    <row r="13" spans="1:5" ht="15" customHeight="1" x14ac:dyDescent="0.25">
      <c r="A13" s="346">
        <v>4</v>
      </c>
      <c r="B13" s="340" t="str">
        <f>'Planilha Orçamentária'!D67</f>
        <v>CAMPO DE AREIA</v>
      </c>
      <c r="C13" s="342">
        <f>D13/$C$23</f>
        <v>0.25850255744483086</v>
      </c>
      <c r="D13" s="347">
        <f>'Planilha Orçamentária'!H80</f>
        <v>74994.649999999994</v>
      </c>
      <c r="E13" s="240"/>
    </row>
    <row r="14" spans="1:5" ht="15" customHeight="1" x14ac:dyDescent="0.25">
      <c r="A14" s="339"/>
      <c r="B14" s="341"/>
      <c r="C14" s="343"/>
      <c r="D14" s="348"/>
    </row>
    <row r="15" spans="1:5" ht="15" customHeight="1" x14ac:dyDescent="0.25">
      <c r="A15" s="346">
        <v>5</v>
      </c>
      <c r="B15" s="340" t="str">
        <f>'Planilha Orçamentária'!D82</f>
        <v xml:space="preserve">INSTALAÇÕES HIDRÁULICAS </v>
      </c>
      <c r="C15" s="342">
        <f>D15/$C$23</f>
        <v>1.6708729182122635E-3</v>
      </c>
      <c r="D15" s="347">
        <f>'Planilha Orçamentária'!H85</f>
        <v>484.74</v>
      </c>
    </row>
    <row r="16" spans="1:5" ht="15" customHeight="1" x14ac:dyDescent="0.25">
      <c r="A16" s="339"/>
      <c r="B16" s="341"/>
      <c r="C16" s="343"/>
      <c r="D16" s="348"/>
    </row>
    <row r="17" spans="1:4" ht="15" customHeight="1" x14ac:dyDescent="0.25">
      <c r="A17" s="338">
        <v>6</v>
      </c>
      <c r="B17" s="340" t="str">
        <f>'Planilha Orçamentária'!D87</f>
        <v>INSTALAÇÕES ELÉTRICAS</v>
      </c>
      <c r="C17" s="342">
        <f>D17/$C$23</f>
        <v>7.9845278973973602E-2</v>
      </c>
      <c r="D17" s="349">
        <f>'Planilha Orçamentária'!H93</f>
        <v>23164.06</v>
      </c>
    </row>
    <row r="18" spans="1:4" ht="15" customHeight="1" x14ac:dyDescent="0.25">
      <c r="A18" s="339"/>
      <c r="B18" s="341"/>
      <c r="C18" s="343"/>
      <c r="D18" s="349"/>
    </row>
    <row r="19" spans="1:4" ht="15" customHeight="1" x14ac:dyDescent="0.25">
      <c r="A19" s="338">
        <v>7</v>
      </c>
      <c r="B19" s="340" t="str">
        <f>'Planilha Orçamentária'!D95</f>
        <v>CALÇADA</v>
      </c>
      <c r="C19" s="342">
        <f>D19/$C$23</f>
        <v>9.6618259241617294E-2</v>
      </c>
      <c r="D19" s="344">
        <f>'Planilha Orçamentária'!H101</f>
        <v>28030.100000000002</v>
      </c>
    </row>
    <row r="20" spans="1:4" ht="15" customHeight="1" x14ac:dyDescent="0.25">
      <c r="A20" s="339"/>
      <c r="B20" s="341"/>
      <c r="C20" s="343"/>
      <c r="D20" s="345"/>
    </row>
    <row r="21" spans="1:4" ht="15" customHeight="1" x14ac:dyDescent="0.25">
      <c r="A21" s="338">
        <v>8</v>
      </c>
      <c r="B21" s="340" t="str">
        <f>'Planilha Orçamentária'!D103</f>
        <v xml:space="preserve">SERVIÇOS COMPLEMENTARES </v>
      </c>
      <c r="C21" s="342">
        <f>D21/$C$23</f>
        <v>3.561850614640568E-2</v>
      </c>
      <c r="D21" s="344">
        <f>'Planilha Orçamentária'!H108</f>
        <v>10333.349999999999</v>
      </c>
    </row>
    <row r="22" spans="1:4" ht="15" customHeight="1" x14ac:dyDescent="0.25">
      <c r="A22" s="339"/>
      <c r="B22" s="341"/>
      <c r="C22" s="343"/>
      <c r="D22" s="345"/>
    </row>
    <row r="23" spans="1:4" ht="20.100000000000001" customHeight="1" x14ac:dyDescent="0.25">
      <c r="A23" s="334" t="s">
        <v>237</v>
      </c>
      <c r="B23" s="241" t="s">
        <v>238</v>
      </c>
      <c r="C23" s="335">
        <f>SUM(D7:D22)</f>
        <v>290111.82999999996</v>
      </c>
      <c r="D23" s="335"/>
    </row>
    <row r="24" spans="1:4" ht="20.100000000000001" customHeight="1" x14ac:dyDescent="0.25">
      <c r="A24" s="334"/>
      <c r="B24" s="241" t="s">
        <v>239</v>
      </c>
      <c r="C24" s="336">
        <v>1038.81</v>
      </c>
      <c r="D24" s="336"/>
    </row>
    <row r="25" spans="1:4" ht="20.100000000000001" customHeight="1" x14ac:dyDescent="0.25">
      <c r="A25" s="334"/>
      <c r="B25" s="241" t="s">
        <v>240</v>
      </c>
      <c r="C25" s="337">
        <f>C23/C24</f>
        <v>279.273235721643</v>
      </c>
      <c r="D25" s="337"/>
    </row>
    <row r="26" spans="1:4" ht="15" customHeight="1" x14ac:dyDescent="0.25">
      <c r="A26" s="242"/>
      <c r="B26" s="243"/>
      <c r="C26" s="243"/>
      <c r="D26" s="244"/>
    </row>
    <row r="27" spans="1:4" ht="15" customHeight="1" x14ac:dyDescent="0.25">
      <c r="A27" s="242"/>
      <c r="B27" s="243"/>
      <c r="C27" s="243"/>
      <c r="D27" s="244"/>
    </row>
    <row r="28" spans="1:4" ht="15" customHeight="1" x14ac:dyDescent="0.25">
      <c r="A28" s="242"/>
      <c r="B28" s="243"/>
      <c r="C28" s="243"/>
      <c r="D28" s="244"/>
    </row>
    <row r="29" spans="1:4" ht="15" customHeight="1" x14ac:dyDescent="0.25">
      <c r="A29" s="331" t="s">
        <v>241</v>
      </c>
      <c r="B29" s="332"/>
      <c r="C29" s="332"/>
      <c r="D29" s="333"/>
    </row>
    <row r="30" spans="1:4" ht="15" customHeight="1" x14ac:dyDescent="0.25">
      <c r="A30" s="331" t="s">
        <v>242</v>
      </c>
      <c r="B30" s="332"/>
      <c r="C30" s="332"/>
      <c r="D30" s="333"/>
    </row>
    <row r="31" spans="1:4" ht="15" customHeight="1" x14ac:dyDescent="0.25">
      <c r="A31" s="242"/>
      <c r="C31" s="243"/>
      <c r="D31" s="244"/>
    </row>
    <row r="32" spans="1:4" ht="15" customHeight="1" x14ac:dyDescent="0.25">
      <c r="A32" s="242"/>
      <c r="C32" s="243"/>
      <c r="D32" s="244"/>
    </row>
    <row r="33" spans="1:4" ht="15" customHeight="1" x14ac:dyDescent="0.25">
      <c r="A33" s="331"/>
      <c r="B33" s="332"/>
      <c r="C33" s="332"/>
      <c r="D33" s="333"/>
    </row>
    <row r="34" spans="1:4" ht="15" customHeight="1" x14ac:dyDescent="0.25">
      <c r="A34" s="331"/>
      <c r="B34" s="332"/>
      <c r="C34" s="332"/>
      <c r="D34" s="333"/>
    </row>
    <row r="35" spans="1:4" ht="15" customHeight="1" x14ac:dyDescent="0.25">
      <c r="A35" s="245"/>
      <c r="D35" s="246"/>
    </row>
    <row r="36" spans="1:4" ht="15" customHeight="1" x14ac:dyDescent="0.25">
      <c r="A36" s="247"/>
      <c r="B36" s="225"/>
      <c r="C36" s="225"/>
      <c r="D36" s="248"/>
    </row>
  </sheetData>
  <mergeCells count="47">
    <mergeCell ref="A1:D1"/>
    <mergeCell ref="A2:B2"/>
    <mergeCell ref="A3:B3"/>
    <mergeCell ref="A5:A6"/>
    <mergeCell ref="B5:B6"/>
    <mergeCell ref="C5:C6"/>
    <mergeCell ref="D5:D6"/>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9:D29"/>
    <mergeCell ref="A30:D30"/>
    <mergeCell ref="A33:D33"/>
    <mergeCell ref="A34:D34"/>
    <mergeCell ref="A23:A25"/>
    <mergeCell ref="C23:D23"/>
    <mergeCell ref="C24:D24"/>
    <mergeCell ref="C25:D25"/>
  </mergeCells>
  <printOptions horizontalCentered="1"/>
  <pageMargins left="0.59055118110236227" right="0.59055118110236227" top="1.1811023622047245" bottom="0.59055118110236227" header="0" footer="0"/>
  <pageSetup paperSize="9" scale="85" fitToWidth="0" fitToHeight="0" orientation="landscape" r:id="rId1"/>
  <headerFooter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C0AB7-0FA7-4FE4-AC7D-60E647747097}">
  <sheetPr>
    <pageSetUpPr fitToPage="1"/>
  </sheetPr>
  <dimension ref="A1:J110"/>
  <sheetViews>
    <sheetView view="pageBreakPreview" zoomScaleNormal="100" zoomScaleSheetLayoutView="100" workbookViewId="0">
      <selection activeCell="G70" sqref="G70"/>
    </sheetView>
  </sheetViews>
  <sheetFormatPr defaultColWidth="10.7109375" defaultRowHeight="15" customHeight="1" x14ac:dyDescent="0.25"/>
  <cols>
    <col min="1" max="1" width="8.5703125" style="3" customWidth="1"/>
    <col min="2" max="2" width="7.85546875" style="3" bestFit="1" customWidth="1"/>
    <col min="3" max="3" width="7.140625" style="3" bestFit="1" customWidth="1"/>
    <col min="4" max="4" width="94.85546875" style="5" customWidth="1"/>
    <col min="5" max="5" width="9.140625" style="3" bestFit="1" customWidth="1"/>
    <col min="6" max="6" width="12.7109375" style="3" bestFit="1" customWidth="1"/>
    <col min="7" max="7" width="15" style="63" bestFit="1" customWidth="1"/>
    <col min="8" max="8" width="17.140625" style="64" customWidth="1"/>
    <col min="9" max="9" width="14.7109375" style="3" customWidth="1"/>
    <col min="10" max="16384" width="10.7109375" style="3"/>
  </cols>
  <sheetData>
    <row r="1" spans="1:10" s="1" customFormat="1" ht="15" customHeight="1" x14ac:dyDescent="0.25">
      <c r="A1" s="383" t="s">
        <v>0</v>
      </c>
      <c r="B1" s="383"/>
      <c r="C1" s="383"/>
      <c r="D1" s="383"/>
      <c r="E1" s="383"/>
      <c r="F1" s="383"/>
      <c r="G1" s="380" t="s">
        <v>769</v>
      </c>
      <c r="H1" s="380"/>
    </row>
    <row r="2" spans="1:10" s="1" customFormat="1" ht="15" customHeight="1" x14ac:dyDescent="0.25">
      <c r="A2" s="379" t="s">
        <v>490</v>
      </c>
      <c r="B2" s="379"/>
      <c r="C2" s="379"/>
      <c r="D2" s="379"/>
      <c r="E2" s="107" t="s">
        <v>525</v>
      </c>
      <c r="F2" s="106">
        <v>0.2631</v>
      </c>
      <c r="G2" s="105" t="s">
        <v>522</v>
      </c>
      <c r="H2" s="104" t="s">
        <v>523</v>
      </c>
    </row>
    <row r="3" spans="1:10" s="1" customFormat="1" ht="12.75" x14ac:dyDescent="0.25">
      <c r="A3" s="8" t="s">
        <v>491</v>
      </c>
      <c r="B3" s="9"/>
      <c r="C3" s="8"/>
      <c r="D3" s="10"/>
      <c r="E3" s="367"/>
      <c r="F3" s="367"/>
      <c r="G3" s="187" t="s">
        <v>524</v>
      </c>
      <c r="H3" s="188" t="s">
        <v>712</v>
      </c>
    </row>
    <row r="4" spans="1:10" s="1" customFormat="1" ht="12" customHeight="1" x14ac:dyDescent="0.25">
      <c r="A4" s="191" t="s">
        <v>492</v>
      </c>
      <c r="B4" s="191"/>
      <c r="C4" s="192" t="s">
        <v>1</v>
      </c>
      <c r="D4" s="192"/>
      <c r="E4" s="381" t="s">
        <v>2</v>
      </c>
      <c r="F4" s="381"/>
      <c r="G4" s="190" t="s">
        <v>713</v>
      </c>
      <c r="H4" s="13"/>
      <c r="I4" s="7"/>
      <c r="J4" s="7"/>
    </row>
    <row r="5" spans="1:10" s="1" customFormat="1" ht="12.75" x14ac:dyDescent="0.25">
      <c r="A5" s="11"/>
      <c r="B5" s="11"/>
      <c r="C5" s="12"/>
      <c r="D5" s="12"/>
      <c r="E5" s="382"/>
      <c r="F5" s="382"/>
      <c r="G5" s="190" t="s">
        <v>714</v>
      </c>
      <c r="H5" s="13"/>
      <c r="I5" s="7"/>
      <c r="J5" s="7"/>
    </row>
    <row r="6" spans="1:10" s="2" customFormat="1" ht="15" customHeight="1" x14ac:dyDescent="0.25">
      <c r="A6" s="369" t="s">
        <v>3</v>
      </c>
      <c r="B6" s="369" t="s">
        <v>4</v>
      </c>
      <c r="C6" s="369" t="s">
        <v>5</v>
      </c>
      <c r="D6" s="370" t="s">
        <v>6</v>
      </c>
      <c r="E6" s="369" t="s">
        <v>7</v>
      </c>
      <c r="F6" s="369" t="s">
        <v>8</v>
      </c>
      <c r="G6" s="369" t="s">
        <v>9</v>
      </c>
      <c r="H6" s="369"/>
    </row>
    <row r="7" spans="1:10" s="2" customFormat="1" ht="15" customHeight="1" x14ac:dyDescent="0.25">
      <c r="A7" s="369"/>
      <c r="B7" s="369"/>
      <c r="C7" s="369"/>
      <c r="D7" s="370"/>
      <c r="E7" s="369"/>
      <c r="F7" s="369"/>
      <c r="G7" s="14" t="s">
        <v>10</v>
      </c>
      <c r="H7" s="15" t="s">
        <v>11</v>
      </c>
    </row>
    <row r="8" spans="1:10" s="2" customFormat="1" ht="15" customHeight="1" x14ac:dyDescent="0.25">
      <c r="A8" s="16" t="s">
        <v>12</v>
      </c>
      <c r="B8" s="17"/>
      <c r="C8" s="17"/>
      <c r="D8" s="18" t="s">
        <v>13</v>
      </c>
      <c r="E8" s="17"/>
      <c r="F8" s="17"/>
      <c r="G8" s="19"/>
      <c r="H8" s="20"/>
    </row>
    <row r="9" spans="1:10" s="2" customFormat="1" ht="15" customHeight="1" x14ac:dyDescent="0.25">
      <c r="A9" s="21" t="s">
        <v>14</v>
      </c>
      <c r="B9" s="22" t="s">
        <v>15</v>
      </c>
      <c r="C9" s="23" t="s">
        <v>16</v>
      </c>
      <c r="D9" s="24" t="s">
        <v>17</v>
      </c>
      <c r="E9" s="23" t="s">
        <v>18</v>
      </c>
      <c r="F9" s="25">
        <f>'Memorial de Cálculo'!L10</f>
        <v>8</v>
      </c>
      <c r="G9" s="189">
        <f>TRUNC(189.61*1.2631,2)</f>
        <v>239.49</v>
      </c>
      <c r="H9" s="26">
        <f>TRUNC(F9*G9,2)</f>
        <v>1915.92</v>
      </c>
    </row>
    <row r="10" spans="1:10" s="2" customFormat="1" ht="25.5" x14ac:dyDescent="0.25">
      <c r="A10" s="21" t="s">
        <v>19</v>
      </c>
      <c r="B10" s="22" t="s">
        <v>20</v>
      </c>
      <c r="C10" s="23" t="s">
        <v>16</v>
      </c>
      <c r="D10" s="24" t="s">
        <v>21</v>
      </c>
      <c r="E10" s="23" t="s">
        <v>22</v>
      </c>
      <c r="F10" s="25">
        <f>'Memorial de Cálculo'!L14</f>
        <v>123.81</v>
      </c>
      <c r="G10" s="189">
        <f>TRUNC(121.03*1.2631,2)</f>
        <v>152.87</v>
      </c>
      <c r="H10" s="26">
        <f t="shared" ref="H10:H19" si="0">TRUNC(F10*G10,2)</f>
        <v>18926.830000000002</v>
      </c>
    </row>
    <row r="11" spans="1:10" s="2" customFormat="1" ht="25.5" x14ac:dyDescent="0.25">
      <c r="A11" s="21" t="s">
        <v>23</v>
      </c>
      <c r="B11" s="22" t="s">
        <v>24</v>
      </c>
      <c r="C11" s="23" t="s">
        <v>16</v>
      </c>
      <c r="D11" s="24" t="s">
        <v>25</v>
      </c>
      <c r="E11" s="23" t="s">
        <v>26</v>
      </c>
      <c r="F11" s="27">
        <f>'Memorial de Cálculo'!L18</f>
        <v>3</v>
      </c>
      <c r="G11" s="189">
        <f>TRUNC(416.67*1.2631,2)</f>
        <v>526.29</v>
      </c>
      <c r="H11" s="26">
        <f t="shared" si="0"/>
        <v>1578.87</v>
      </c>
    </row>
    <row r="12" spans="1:10" ht="12.75" x14ac:dyDescent="0.25">
      <c r="A12" s="21" t="s">
        <v>27</v>
      </c>
      <c r="B12" s="31" t="s">
        <v>30</v>
      </c>
      <c r="C12" s="31" t="s">
        <v>28</v>
      </c>
      <c r="D12" s="32" t="s">
        <v>31</v>
      </c>
      <c r="E12" s="33" t="s">
        <v>32</v>
      </c>
      <c r="F12" s="27">
        <f>'Memorial de Cálculo'!L22</f>
        <v>2</v>
      </c>
      <c r="G12" s="189">
        <f>TRUNC(71.18*1.2631,2)</f>
        <v>89.9</v>
      </c>
      <c r="H12" s="26">
        <f t="shared" si="0"/>
        <v>179.8</v>
      </c>
    </row>
    <row r="13" spans="1:10" ht="12.75" x14ac:dyDescent="0.2">
      <c r="A13" s="21" t="s">
        <v>29</v>
      </c>
      <c r="B13" s="34" t="s">
        <v>34</v>
      </c>
      <c r="C13" s="29" t="s">
        <v>16</v>
      </c>
      <c r="D13" s="30" t="s">
        <v>35</v>
      </c>
      <c r="E13" s="23" t="s">
        <v>36</v>
      </c>
      <c r="F13" s="27">
        <f>'Memorial de Cálculo'!L26</f>
        <v>32.53</v>
      </c>
      <c r="G13" s="193">
        <f>TRUNC(8.09*1.2631,2)</f>
        <v>10.210000000000001</v>
      </c>
      <c r="H13" s="26">
        <f t="shared" si="0"/>
        <v>332.13</v>
      </c>
    </row>
    <row r="14" spans="1:10" ht="12.75" x14ac:dyDescent="0.25">
      <c r="A14" s="21" t="s">
        <v>33</v>
      </c>
      <c r="B14" s="35">
        <v>100576</v>
      </c>
      <c r="C14" s="23" t="s">
        <v>28</v>
      </c>
      <c r="D14" s="32" t="s">
        <v>216</v>
      </c>
      <c r="E14" s="23" t="s">
        <v>18</v>
      </c>
      <c r="F14" s="27">
        <f>'Memorial de Cálculo'!L31</f>
        <v>1038.81</v>
      </c>
      <c r="G14" s="189">
        <f>TRUNC(1.42*1.2631,2)</f>
        <v>1.79</v>
      </c>
      <c r="H14" s="26">
        <f t="shared" si="0"/>
        <v>1859.46</v>
      </c>
    </row>
    <row r="15" spans="1:10" ht="12.75" x14ac:dyDescent="0.2">
      <c r="A15" s="21" t="s">
        <v>37</v>
      </c>
      <c r="B15" s="21" t="s">
        <v>39</v>
      </c>
      <c r="C15" s="23" t="s">
        <v>16</v>
      </c>
      <c r="D15" s="36" t="s">
        <v>40</v>
      </c>
      <c r="E15" s="23" t="s">
        <v>22</v>
      </c>
      <c r="F15" s="27">
        <f>'Memorial de Cálculo'!L36</f>
        <v>124.22</v>
      </c>
      <c r="G15" s="193">
        <f>TRUNC(7.22*1.2631,2)</f>
        <v>9.11</v>
      </c>
      <c r="H15" s="26">
        <f t="shared" si="0"/>
        <v>1131.6400000000001</v>
      </c>
    </row>
    <row r="16" spans="1:10" ht="12.75" x14ac:dyDescent="0.2">
      <c r="A16" s="21" t="s">
        <v>38</v>
      </c>
      <c r="B16" s="377" t="s">
        <v>151</v>
      </c>
      <c r="C16" s="378"/>
      <c r="D16" s="36" t="s">
        <v>749</v>
      </c>
      <c r="E16" s="23" t="s">
        <v>32</v>
      </c>
      <c r="F16" s="27">
        <f>'Memorial de Cálculo'!L40</f>
        <v>1</v>
      </c>
      <c r="G16" s="193">
        <v>24.06</v>
      </c>
      <c r="H16" s="26">
        <f t="shared" si="0"/>
        <v>24.06</v>
      </c>
    </row>
    <row r="17" spans="1:8" ht="12.75" x14ac:dyDescent="0.25">
      <c r="A17" s="21" t="s">
        <v>41</v>
      </c>
      <c r="B17" s="377" t="s">
        <v>97</v>
      </c>
      <c r="C17" s="378"/>
      <c r="D17" s="36" t="s">
        <v>43</v>
      </c>
      <c r="E17" s="23" t="s">
        <v>32</v>
      </c>
      <c r="F17" s="27">
        <f>'Memorial de Cálculo'!L44</f>
        <v>4</v>
      </c>
      <c r="G17" s="306">
        <v>61.97</v>
      </c>
      <c r="H17" s="26">
        <f t="shared" si="0"/>
        <v>247.88</v>
      </c>
    </row>
    <row r="18" spans="1:8" ht="12.75" x14ac:dyDescent="0.25">
      <c r="A18" s="21" t="s">
        <v>42</v>
      </c>
      <c r="B18" s="21" t="s">
        <v>45</v>
      </c>
      <c r="C18" s="21" t="s">
        <v>16</v>
      </c>
      <c r="D18" s="37" t="s">
        <v>46</v>
      </c>
      <c r="E18" s="23" t="s">
        <v>32</v>
      </c>
      <c r="F18" s="27">
        <f>'Memorial de Cálculo'!L48</f>
        <v>1</v>
      </c>
      <c r="G18" s="306">
        <f>TRUNC(38.13*1.2631,2)</f>
        <v>48.16</v>
      </c>
      <c r="H18" s="26">
        <f t="shared" si="0"/>
        <v>48.16</v>
      </c>
    </row>
    <row r="19" spans="1:8" ht="12.75" x14ac:dyDescent="0.2">
      <c r="A19" s="21" t="s">
        <v>44</v>
      </c>
      <c r="B19" s="21" t="s">
        <v>47</v>
      </c>
      <c r="C19" s="21" t="s">
        <v>16</v>
      </c>
      <c r="D19" s="37" t="s">
        <v>48</v>
      </c>
      <c r="E19" s="23" t="s">
        <v>18</v>
      </c>
      <c r="F19" s="27">
        <f>'Memorial de Cálculo'!L52</f>
        <v>19.18</v>
      </c>
      <c r="G19" s="193">
        <f>TRUNC(18.77*1.2631,2)</f>
        <v>23.7</v>
      </c>
      <c r="H19" s="26">
        <f t="shared" si="0"/>
        <v>454.56</v>
      </c>
    </row>
    <row r="20" spans="1:8" ht="12.75" x14ac:dyDescent="0.25">
      <c r="A20" s="371"/>
      <c r="B20" s="372"/>
      <c r="C20" s="373"/>
      <c r="D20" s="374" t="s">
        <v>49</v>
      </c>
      <c r="E20" s="375"/>
      <c r="F20" s="375"/>
      <c r="G20" s="376"/>
      <c r="H20" s="38">
        <f>SUM(H9:H19)</f>
        <v>26699.31</v>
      </c>
    </row>
    <row r="21" spans="1:8" s="2" customFormat="1" ht="15" customHeight="1" x14ac:dyDescent="0.25">
      <c r="A21" s="368"/>
      <c r="B21" s="368"/>
      <c r="C21" s="368"/>
      <c r="D21" s="368"/>
      <c r="E21" s="368"/>
      <c r="F21" s="368"/>
      <c r="G21" s="368"/>
      <c r="H21" s="368"/>
    </row>
    <row r="22" spans="1:8" ht="15" customHeight="1" x14ac:dyDescent="0.25">
      <c r="A22" s="16" t="s">
        <v>50</v>
      </c>
      <c r="B22" s="17"/>
      <c r="C22" s="17"/>
      <c r="D22" s="18" t="s">
        <v>51</v>
      </c>
      <c r="E22" s="17"/>
      <c r="F22" s="17"/>
      <c r="G22" s="19"/>
      <c r="H22" s="20"/>
    </row>
    <row r="23" spans="1:8" s="2" customFormat="1" ht="15" customHeight="1" x14ac:dyDescent="0.25">
      <c r="A23" s="39" t="s">
        <v>52</v>
      </c>
      <c r="B23" s="40"/>
      <c r="C23" s="40"/>
      <c r="D23" s="41" t="s">
        <v>53</v>
      </c>
      <c r="E23" s="40"/>
      <c r="F23" s="40"/>
      <c r="G23" s="42"/>
      <c r="H23" s="43"/>
    </row>
    <row r="24" spans="1:8" s="2" customFormat="1" ht="15" customHeight="1" x14ac:dyDescent="0.25">
      <c r="A24" s="21" t="s">
        <v>54</v>
      </c>
      <c r="B24" s="22" t="s">
        <v>55</v>
      </c>
      <c r="C24" s="29" t="s">
        <v>16</v>
      </c>
      <c r="D24" s="24" t="s">
        <v>56</v>
      </c>
      <c r="E24" s="29" t="s">
        <v>36</v>
      </c>
      <c r="F24" s="44">
        <f>'Memorial de Cálculo'!L60</f>
        <v>36.31</v>
      </c>
      <c r="G24" s="189">
        <f>TRUNC(41.31*1.2631,2)</f>
        <v>52.17</v>
      </c>
      <c r="H24" s="26">
        <f>TRUNC(G24*F24,2)</f>
        <v>1894.29</v>
      </c>
    </row>
    <row r="25" spans="1:8" s="2" customFormat="1" ht="15" customHeight="1" x14ac:dyDescent="0.25">
      <c r="A25" s="21" t="s">
        <v>57</v>
      </c>
      <c r="B25" s="29">
        <v>96619</v>
      </c>
      <c r="C25" s="29" t="s">
        <v>28</v>
      </c>
      <c r="D25" s="24" t="s">
        <v>58</v>
      </c>
      <c r="E25" s="29" t="s">
        <v>18</v>
      </c>
      <c r="F25" s="44">
        <f>'Memorial de Cálculo'!L66</f>
        <v>24.25</v>
      </c>
      <c r="G25" s="189">
        <f>TRUNC(19.37*1.2631,2)</f>
        <v>24.46</v>
      </c>
      <c r="H25" s="26">
        <f t="shared" ref="H25:H28" si="1">TRUNC(G25*F25,2)</f>
        <v>593.15</v>
      </c>
    </row>
    <row r="26" spans="1:8" s="2" customFormat="1" ht="15" customHeight="1" x14ac:dyDescent="0.25">
      <c r="A26" s="21" t="s">
        <v>59</v>
      </c>
      <c r="B26" s="22" t="s">
        <v>60</v>
      </c>
      <c r="C26" s="29" t="s">
        <v>16</v>
      </c>
      <c r="D26" s="24" t="s">
        <v>61</v>
      </c>
      <c r="E26" s="29" t="s">
        <v>62</v>
      </c>
      <c r="F26" s="44">
        <f>'Memorial de Cálculo'!L71</f>
        <v>90.7</v>
      </c>
      <c r="G26" s="189">
        <f>TRUNC(6.96*1.2631,2)</f>
        <v>8.7899999999999991</v>
      </c>
      <c r="H26" s="26">
        <f t="shared" si="1"/>
        <v>797.25</v>
      </c>
    </row>
    <row r="27" spans="1:8" s="2" customFormat="1" ht="12.75" x14ac:dyDescent="0.25">
      <c r="A27" s="21" t="s">
        <v>63</v>
      </c>
      <c r="B27" s="22" t="s">
        <v>64</v>
      </c>
      <c r="C27" s="29" t="s">
        <v>16</v>
      </c>
      <c r="D27" s="24" t="s">
        <v>65</v>
      </c>
      <c r="E27" s="29" t="s">
        <v>36</v>
      </c>
      <c r="F27" s="44">
        <f>'Memorial de Cálculo'!L76</f>
        <v>6.7200000000000006</v>
      </c>
      <c r="G27" s="189">
        <f>TRUNC(542.45*1.2631,2)</f>
        <v>685.16</v>
      </c>
      <c r="H27" s="26">
        <f t="shared" si="1"/>
        <v>4604.2700000000004</v>
      </c>
    </row>
    <row r="28" spans="1:8" s="2" customFormat="1" ht="15" customHeight="1" x14ac:dyDescent="0.25">
      <c r="A28" s="21" t="s">
        <v>66</v>
      </c>
      <c r="B28" s="29">
        <v>96995</v>
      </c>
      <c r="C28" s="29" t="s">
        <v>28</v>
      </c>
      <c r="D28" s="24" t="s">
        <v>67</v>
      </c>
      <c r="E28" s="29" t="s">
        <v>36</v>
      </c>
      <c r="F28" s="44">
        <f>'Memorial de Cálculo'!L80</f>
        <v>27.403800000000004</v>
      </c>
      <c r="G28" s="189">
        <f>TRUNC(34.22*1.2631,2)</f>
        <v>43.22</v>
      </c>
      <c r="H28" s="26">
        <f t="shared" si="1"/>
        <v>1184.3900000000001</v>
      </c>
    </row>
    <row r="29" spans="1:8" s="2" customFormat="1" ht="15" customHeight="1" x14ac:dyDescent="0.25">
      <c r="A29" s="39" t="s">
        <v>68</v>
      </c>
      <c r="B29" s="40"/>
      <c r="C29" s="40"/>
      <c r="D29" s="41" t="s">
        <v>509</v>
      </c>
      <c r="E29" s="40"/>
      <c r="F29" s="40"/>
      <c r="G29" s="100"/>
      <c r="H29" s="43"/>
    </row>
    <row r="30" spans="1:8" s="2" customFormat="1" ht="25.5" x14ac:dyDescent="0.25">
      <c r="A30" s="21" t="s">
        <v>69</v>
      </c>
      <c r="B30" s="22" t="s">
        <v>70</v>
      </c>
      <c r="C30" s="29" t="s">
        <v>16</v>
      </c>
      <c r="D30" s="24" t="s">
        <v>71</v>
      </c>
      <c r="E30" s="29" t="s">
        <v>18</v>
      </c>
      <c r="F30" s="44">
        <f>'Memorial de Cálculo'!L86</f>
        <v>32.06</v>
      </c>
      <c r="G30" s="189">
        <f>TRUNC(60.05*1.2631,2)</f>
        <v>75.84</v>
      </c>
      <c r="H30" s="26">
        <f>TRUNC(G30*F30,2)</f>
        <v>2431.4299999999998</v>
      </c>
    </row>
    <row r="31" spans="1:8" s="2" customFormat="1" ht="15" customHeight="1" x14ac:dyDescent="0.25">
      <c r="A31" s="21" t="s">
        <v>72</v>
      </c>
      <c r="B31" s="22" t="s">
        <v>60</v>
      </c>
      <c r="C31" s="29" t="s">
        <v>16</v>
      </c>
      <c r="D31" s="24" t="s">
        <v>61</v>
      </c>
      <c r="E31" s="29" t="s">
        <v>62</v>
      </c>
      <c r="F31" s="44">
        <f>'Memorial de Cálculo'!L104</f>
        <v>321.56080000000003</v>
      </c>
      <c r="G31" s="189">
        <f>TRUNC(6.96*1.2631,2)</f>
        <v>8.7899999999999991</v>
      </c>
      <c r="H31" s="26">
        <f t="shared" ref="H31:H32" si="2">TRUNC(G31*F31,2)</f>
        <v>2826.51</v>
      </c>
    </row>
    <row r="32" spans="1:8" s="2" customFormat="1" ht="12.75" x14ac:dyDescent="0.25">
      <c r="A32" s="21" t="s">
        <v>73</v>
      </c>
      <c r="B32" s="22" t="s">
        <v>64</v>
      </c>
      <c r="C32" s="29" t="s">
        <v>16</v>
      </c>
      <c r="D32" s="24" t="s">
        <v>65</v>
      </c>
      <c r="E32" s="29" t="s">
        <v>36</v>
      </c>
      <c r="F32" s="44">
        <f>'Memorial de Cálculo'!L109</f>
        <v>2.1861999999999999</v>
      </c>
      <c r="G32" s="189">
        <f>TRUNC(542.45*1.2631,2)</f>
        <v>685.16</v>
      </c>
      <c r="H32" s="26">
        <f t="shared" si="2"/>
        <v>1497.89</v>
      </c>
    </row>
    <row r="33" spans="1:8" s="2" customFormat="1" ht="15" customHeight="1" x14ac:dyDescent="0.25">
      <c r="A33" s="39" t="s">
        <v>74</v>
      </c>
      <c r="B33" s="40"/>
      <c r="C33" s="40"/>
      <c r="D33" s="41" t="s">
        <v>75</v>
      </c>
      <c r="E33" s="40"/>
      <c r="F33" s="40"/>
      <c r="G33" s="100"/>
      <c r="H33" s="43"/>
    </row>
    <row r="34" spans="1:8" s="2" customFormat="1" ht="15" customHeight="1" x14ac:dyDescent="0.25">
      <c r="A34" s="21" t="s">
        <v>76</v>
      </c>
      <c r="B34" s="22" t="s">
        <v>55</v>
      </c>
      <c r="C34" s="29" t="s">
        <v>16</v>
      </c>
      <c r="D34" s="24" t="s">
        <v>56</v>
      </c>
      <c r="E34" s="29" t="s">
        <v>36</v>
      </c>
      <c r="F34" s="44">
        <f>'Memorial de Cálculo'!L133</f>
        <v>18.390000000000004</v>
      </c>
      <c r="G34" s="189">
        <f>TRUNC(41.31*1.2631,2)</f>
        <v>52.17</v>
      </c>
      <c r="H34" s="26">
        <f>TRUNC(G34*F34,2)</f>
        <v>959.4</v>
      </c>
    </row>
    <row r="35" spans="1:8" s="2" customFormat="1" ht="25.5" x14ac:dyDescent="0.25">
      <c r="A35" s="21" t="s">
        <v>77</v>
      </c>
      <c r="B35" s="22" t="s">
        <v>70</v>
      </c>
      <c r="C35" s="29" t="s">
        <v>16</v>
      </c>
      <c r="D35" s="24" t="s">
        <v>71</v>
      </c>
      <c r="E35" s="29" t="s">
        <v>18</v>
      </c>
      <c r="F35" s="44">
        <f>'Memorial de Cálculo'!L156</f>
        <v>73.583999999999989</v>
      </c>
      <c r="G35" s="189">
        <f>TRUNC(60.05*1.2631,2)</f>
        <v>75.84</v>
      </c>
      <c r="H35" s="26">
        <f t="shared" ref="H35:H37" si="3">TRUNC(G35*F35,2)</f>
        <v>5580.61</v>
      </c>
    </row>
    <row r="36" spans="1:8" s="2" customFormat="1" ht="15" customHeight="1" x14ac:dyDescent="0.25">
      <c r="A36" s="21" t="s">
        <v>78</v>
      </c>
      <c r="B36" s="22" t="s">
        <v>60</v>
      </c>
      <c r="C36" s="29" t="s">
        <v>16</v>
      </c>
      <c r="D36" s="24" t="s">
        <v>61</v>
      </c>
      <c r="E36" s="29" t="s">
        <v>62</v>
      </c>
      <c r="F36" s="44">
        <f>'Memorial de Cálculo'!L199</f>
        <v>590.07999999999981</v>
      </c>
      <c r="G36" s="189">
        <f>TRUNC(6.96*1.2631,2)</f>
        <v>8.7899999999999991</v>
      </c>
      <c r="H36" s="26">
        <f t="shared" si="3"/>
        <v>5186.8</v>
      </c>
    </row>
    <row r="37" spans="1:8" s="2" customFormat="1" ht="12.75" x14ac:dyDescent="0.25">
      <c r="A37" s="21" t="s">
        <v>79</v>
      </c>
      <c r="B37" s="22" t="s">
        <v>64</v>
      </c>
      <c r="C37" s="29" t="s">
        <v>16</v>
      </c>
      <c r="D37" s="24" t="s">
        <v>65</v>
      </c>
      <c r="E37" s="29" t="s">
        <v>36</v>
      </c>
      <c r="F37" s="44">
        <f>'Memorial de Cálculo'!L222</f>
        <v>7.0410000000000021</v>
      </c>
      <c r="G37" s="189">
        <f>TRUNC(542.45*1.2631,2)</f>
        <v>685.16</v>
      </c>
      <c r="H37" s="26">
        <f t="shared" si="3"/>
        <v>4824.21</v>
      </c>
    </row>
    <row r="38" spans="1:8" s="2" customFormat="1" ht="15" customHeight="1" x14ac:dyDescent="0.25">
      <c r="A38" s="39" t="s">
        <v>80</v>
      </c>
      <c r="B38" s="40"/>
      <c r="C38" s="40"/>
      <c r="D38" s="41" t="s">
        <v>81</v>
      </c>
      <c r="E38" s="40"/>
      <c r="F38" s="40"/>
      <c r="G38" s="100"/>
      <c r="H38" s="43"/>
    </row>
    <row r="39" spans="1:8" s="2" customFormat="1" ht="25.5" x14ac:dyDescent="0.25">
      <c r="A39" s="21" t="s">
        <v>82</v>
      </c>
      <c r="B39" s="22" t="s">
        <v>70</v>
      </c>
      <c r="C39" s="29" t="s">
        <v>16</v>
      </c>
      <c r="D39" s="24" t="s">
        <v>71</v>
      </c>
      <c r="E39" s="29" t="s">
        <v>18</v>
      </c>
      <c r="F39" s="44">
        <f>'Memorial de Cálculo'!L236</f>
        <v>32.963999999999999</v>
      </c>
      <c r="G39" s="189">
        <f>TRUNC(60.05*1.2631,2)</f>
        <v>75.84</v>
      </c>
      <c r="H39" s="26">
        <f>TRUNC(G39*F39,2)</f>
        <v>2499.98</v>
      </c>
    </row>
    <row r="40" spans="1:8" s="2" customFormat="1" ht="15" customHeight="1" x14ac:dyDescent="0.25">
      <c r="A40" s="21" t="s">
        <v>83</v>
      </c>
      <c r="B40" s="22" t="s">
        <v>60</v>
      </c>
      <c r="C40" s="29" t="s">
        <v>16</v>
      </c>
      <c r="D40" s="24" t="s">
        <v>61</v>
      </c>
      <c r="E40" s="29" t="s">
        <v>62</v>
      </c>
      <c r="F40" s="44">
        <f>'Memorial de Cálculo'!L275</f>
        <v>146.55047999999996</v>
      </c>
      <c r="G40" s="189">
        <f>TRUNC(6.96*1.2631,2)</f>
        <v>8.7899999999999991</v>
      </c>
      <c r="H40" s="26">
        <f t="shared" ref="H40:H41" si="4">TRUNC(G40*F40,2)</f>
        <v>1288.17</v>
      </c>
    </row>
    <row r="41" spans="1:8" s="2" customFormat="1" ht="12.75" x14ac:dyDescent="0.25">
      <c r="A41" s="21" t="s">
        <v>84</v>
      </c>
      <c r="B41" s="22" t="s">
        <v>64</v>
      </c>
      <c r="C41" s="29" t="s">
        <v>16</v>
      </c>
      <c r="D41" s="24" t="s">
        <v>65</v>
      </c>
      <c r="E41" s="29" t="s">
        <v>36</v>
      </c>
      <c r="F41" s="44">
        <f>'Memorial de Cálculo'!L288</f>
        <v>2.2839999999999998</v>
      </c>
      <c r="G41" s="189">
        <f>TRUNC(542.45*1.2631,2)</f>
        <v>685.16</v>
      </c>
      <c r="H41" s="26">
        <f t="shared" si="4"/>
        <v>1564.9</v>
      </c>
    </row>
    <row r="42" spans="1:8" s="2" customFormat="1" ht="15" customHeight="1" x14ac:dyDescent="0.25">
      <c r="A42" s="39" t="s">
        <v>85</v>
      </c>
      <c r="B42" s="40"/>
      <c r="C42" s="40"/>
      <c r="D42" s="41" t="s">
        <v>86</v>
      </c>
      <c r="E42" s="40"/>
      <c r="F42" s="40"/>
      <c r="G42" s="100"/>
      <c r="H42" s="43"/>
    </row>
    <row r="43" spans="1:8" s="2" customFormat="1" ht="25.5" x14ac:dyDescent="0.25">
      <c r="A43" s="21" t="s">
        <v>87</v>
      </c>
      <c r="B43" s="22" t="s">
        <v>70</v>
      </c>
      <c r="C43" s="29" t="s">
        <v>16</v>
      </c>
      <c r="D43" s="24" t="s">
        <v>71</v>
      </c>
      <c r="E43" s="29" t="s">
        <v>18</v>
      </c>
      <c r="F43" s="44">
        <f>'Memorial de Cálculo'!L302</f>
        <v>37.024000000000001</v>
      </c>
      <c r="G43" s="189">
        <f>TRUNC(60.05*1.2631,2)</f>
        <v>75.84</v>
      </c>
      <c r="H43" s="26">
        <f>TRUNC(G43*F43,2)</f>
        <v>2807.9</v>
      </c>
    </row>
    <row r="44" spans="1:8" s="2" customFormat="1" ht="15" customHeight="1" x14ac:dyDescent="0.25">
      <c r="A44" s="21" t="s">
        <v>88</v>
      </c>
      <c r="B44" s="22" t="s">
        <v>60</v>
      </c>
      <c r="C44" s="29" t="s">
        <v>16</v>
      </c>
      <c r="D44" s="24" t="s">
        <v>61</v>
      </c>
      <c r="E44" s="29" t="s">
        <v>62</v>
      </c>
      <c r="F44" s="44">
        <f>'Memorial de Cálculo'!L325</f>
        <v>291.74362900000006</v>
      </c>
      <c r="G44" s="189">
        <f>TRUNC(6.96*1.2631,2)</f>
        <v>8.7899999999999991</v>
      </c>
      <c r="H44" s="26">
        <f t="shared" ref="H44:H45" si="5">TRUNC(G44*F44,2)</f>
        <v>2564.42</v>
      </c>
    </row>
    <row r="45" spans="1:8" s="2" customFormat="1" ht="12.75" x14ac:dyDescent="0.25">
      <c r="A45" s="21" t="s">
        <v>89</v>
      </c>
      <c r="B45" s="22" t="s">
        <v>64</v>
      </c>
      <c r="C45" s="29" t="s">
        <v>16</v>
      </c>
      <c r="D45" s="24" t="s">
        <v>65</v>
      </c>
      <c r="E45" s="29" t="s">
        <v>36</v>
      </c>
      <c r="F45" s="44">
        <f>'Memorial de Cálculo'!L338</f>
        <v>3.6381599999999996</v>
      </c>
      <c r="G45" s="189">
        <f>TRUNC(542.45*1.2631,2)</f>
        <v>685.16</v>
      </c>
      <c r="H45" s="26">
        <f t="shared" si="5"/>
        <v>2492.7199999999998</v>
      </c>
    </row>
    <row r="46" spans="1:8" s="2" customFormat="1" ht="12.75" x14ac:dyDescent="0.25">
      <c r="A46" s="39" t="s">
        <v>90</v>
      </c>
      <c r="B46" s="40"/>
      <c r="C46" s="40"/>
      <c r="D46" s="41" t="s">
        <v>91</v>
      </c>
      <c r="E46" s="40"/>
      <c r="F46" s="40"/>
      <c r="G46" s="100"/>
      <c r="H46" s="43"/>
    </row>
    <row r="47" spans="1:8" s="2" customFormat="1" ht="25.5" x14ac:dyDescent="0.25">
      <c r="A47" s="21" t="s">
        <v>92</v>
      </c>
      <c r="B47" s="34" t="s">
        <v>93</v>
      </c>
      <c r="C47" s="29" t="s">
        <v>16</v>
      </c>
      <c r="D47" s="30" t="s">
        <v>94</v>
      </c>
      <c r="E47" s="23" t="s">
        <v>18</v>
      </c>
      <c r="F47" s="46">
        <f>'Memorial de Cálculo'!L352</f>
        <v>45.360000000000007</v>
      </c>
      <c r="G47" s="307">
        <f>TRUNC(152.9*1.2631,2)</f>
        <v>193.12</v>
      </c>
      <c r="H47" s="26">
        <f t="shared" ref="H47:H49" si="6">TRUNC(F47*G47,2)</f>
        <v>8759.92</v>
      </c>
    </row>
    <row r="48" spans="1:8" s="2" customFormat="1" ht="15" customHeight="1" x14ac:dyDescent="0.25">
      <c r="A48" s="21" t="s">
        <v>95</v>
      </c>
      <c r="B48" s="22" t="s">
        <v>60</v>
      </c>
      <c r="C48" s="29" t="s">
        <v>16</v>
      </c>
      <c r="D48" s="24" t="s">
        <v>61</v>
      </c>
      <c r="E48" s="29" t="s">
        <v>62</v>
      </c>
      <c r="F48" s="44">
        <f>'Memorial de Cálculo'!L360</f>
        <v>167.35755000000003</v>
      </c>
      <c r="G48" s="189">
        <f>TRUNC(6.96*1.2631,2)</f>
        <v>8.7899999999999991</v>
      </c>
      <c r="H48" s="26">
        <f t="shared" si="6"/>
        <v>1471.07</v>
      </c>
    </row>
    <row r="49" spans="1:8" s="2" customFormat="1" ht="25.5" x14ac:dyDescent="0.25">
      <c r="A49" s="21" t="s">
        <v>96</v>
      </c>
      <c r="B49" s="377" t="s">
        <v>178</v>
      </c>
      <c r="C49" s="378"/>
      <c r="D49" s="24" t="s">
        <v>98</v>
      </c>
      <c r="E49" s="29" t="s">
        <v>22</v>
      </c>
      <c r="F49" s="44">
        <f>'Memorial de Cálculo'!L368</f>
        <v>109.35000000000001</v>
      </c>
      <c r="G49" s="189">
        <v>55.89</v>
      </c>
      <c r="H49" s="26">
        <f t="shared" si="6"/>
        <v>6111.57</v>
      </c>
    </row>
    <row r="50" spans="1:8" s="2" customFormat="1" ht="12.75" x14ac:dyDescent="0.25">
      <c r="A50" s="39" t="s">
        <v>99</v>
      </c>
      <c r="B50" s="40"/>
      <c r="C50" s="40"/>
      <c r="D50" s="41" t="s">
        <v>100</v>
      </c>
      <c r="E50" s="40"/>
      <c r="F50" s="40"/>
      <c r="G50" s="100"/>
      <c r="H50" s="43"/>
    </row>
    <row r="51" spans="1:8" s="2" customFormat="1" ht="25.5" x14ac:dyDescent="0.25">
      <c r="A51" s="21" t="s">
        <v>101</v>
      </c>
      <c r="B51" s="21" t="s">
        <v>102</v>
      </c>
      <c r="C51" s="21" t="s">
        <v>16</v>
      </c>
      <c r="D51" s="24" t="s">
        <v>103</v>
      </c>
      <c r="E51" s="29" t="s">
        <v>18</v>
      </c>
      <c r="F51" s="44">
        <f>'Memorial de Cálculo'!L373</f>
        <v>8.4</v>
      </c>
      <c r="G51" s="189">
        <f>TRUNC(81.82*1.2631,2)</f>
        <v>103.34</v>
      </c>
      <c r="H51" s="47">
        <f>TRUNC(G51*F51,2)</f>
        <v>868.05</v>
      </c>
    </row>
    <row r="52" spans="1:8" ht="12.75" x14ac:dyDescent="0.25">
      <c r="A52" s="371"/>
      <c r="B52" s="372"/>
      <c r="C52" s="373"/>
      <c r="D52" s="374" t="s">
        <v>104</v>
      </c>
      <c r="E52" s="375"/>
      <c r="F52" s="375"/>
      <c r="G52" s="376"/>
      <c r="H52" s="38">
        <f>SUM(H23:H51)</f>
        <v>62808.9</v>
      </c>
    </row>
    <row r="53" spans="1:8" s="2" customFormat="1" ht="15" customHeight="1" x14ac:dyDescent="0.25">
      <c r="A53" s="384"/>
      <c r="B53" s="384"/>
      <c r="C53" s="384"/>
      <c r="D53" s="384"/>
      <c r="E53" s="384"/>
      <c r="F53" s="384"/>
      <c r="G53" s="384"/>
      <c r="H53" s="384"/>
    </row>
    <row r="54" spans="1:8" s="2" customFormat="1" ht="15" customHeight="1" x14ac:dyDescent="0.25">
      <c r="A54" s="16" t="s">
        <v>105</v>
      </c>
      <c r="B54" s="17"/>
      <c r="C54" s="17"/>
      <c r="D54" s="18" t="s">
        <v>106</v>
      </c>
      <c r="E54" s="17"/>
      <c r="F54" s="17"/>
      <c r="G54" s="19"/>
      <c r="H54" s="20"/>
    </row>
    <row r="55" spans="1:8" s="2" customFormat="1" ht="25.5" x14ac:dyDescent="0.25">
      <c r="A55" s="21" t="s">
        <v>107</v>
      </c>
      <c r="B55" s="48" t="s">
        <v>108</v>
      </c>
      <c r="C55" s="49" t="s">
        <v>16</v>
      </c>
      <c r="D55" s="36" t="s">
        <v>109</v>
      </c>
      <c r="E55" s="23" t="s">
        <v>36</v>
      </c>
      <c r="F55" s="44">
        <f>'Memorial de Cálculo'!L378</f>
        <v>12.9</v>
      </c>
      <c r="G55" s="189">
        <f>TRUNC(422.28*1.2631,2)</f>
        <v>533.38</v>
      </c>
      <c r="H55" s="26">
        <f t="shared" ref="H55:H64" si="7">TRUNC(F55*G55,2)</f>
        <v>6880.6</v>
      </c>
    </row>
    <row r="56" spans="1:8" s="2" customFormat="1" ht="25.5" x14ac:dyDescent="0.25">
      <c r="A56" s="21" t="s">
        <v>110</v>
      </c>
      <c r="B56" s="23">
        <v>200202</v>
      </c>
      <c r="C56" s="49" t="s">
        <v>16</v>
      </c>
      <c r="D56" s="36" t="s">
        <v>111</v>
      </c>
      <c r="E56" s="23" t="s">
        <v>22</v>
      </c>
      <c r="F56" s="44">
        <f>'Memorial de Cálculo'!L384</f>
        <v>105.36000000000001</v>
      </c>
      <c r="G56" s="189">
        <f>TRUNC(40.59*1.2631,2)</f>
        <v>51.26</v>
      </c>
      <c r="H56" s="26">
        <f t="shared" si="7"/>
        <v>5400.75</v>
      </c>
    </row>
    <row r="57" spans="1:8" s="2" customFormat="1" ht="25.5" x14ac:dyDescent="0.25">
      <c r="A57" s="21" t="s">
        <v>112</v>
      </c>
      <c r="B57" s="48" t="s">
        <v>70</v>
      </c>
      <c r="C57" s="49" t="s">
        <v>16</v>
      </c>
      <c r="D57" s="36" t="s">
        <v>71</v>
      </c>
      <c r="E57" s="23" t="s">
        <v>18</v>
      </c>
      <c r="F57" s="44">
        <f>'Memorial de Cálculo'!L388</f>
        <v>2.44</v>
      </c>
      <c r="G57" s="189">
        <f>TRUNC(60.05*1.2631,2)</f>
        <v>75.84</v>
      </c>
      <c r="H57" s="26">
        <f t="shared" si="7"/>
        <v>185.04</v>
      </c>
    </row>
    <row r="58" spans="1:8" s="2" customFormat="1" ht="15" customHeight="1" x14ac:dyDescent="0.25">
      <c r="A58" s="21" t="s">
        <v>113</v>
      </c>
      <c r="B58" s="385" t="s">
        <v>114</v>
      </c>
      <c r="C58" s="386"/>
      <c r="D58" s="32" t="s">
        <v>115</v>
      </c>
      <c r="E58" s="23" t="s">
        <v>18</v>
      </c>
      <c r="F58" s="44">
        <f>'Memorial de Cálculo'!L392</f>
        <v>141.88999999999999</v>
      </c>
      <c r="G58" s="189">
        <v>59.67</v>
      </c>
      <c r="H58" s="26">
        <f t="shared" si="7"/>
        <v>8466.57</v>
      </c>
    </row>
    <row r="59" spans="1:8" s="2" customFormat="1" ht="25.5" x14ac:dyDescent="0.25">
      <c r="A59" s="21" t="s">
        <v>116</v>
      </c>
      <c r="B59" s="385" t="s">
        <v>117</v>
      </c>
      <c r="C59" s="386"/>
      <c r="D59" s="30" t="s">
        <v>118</v>
      </c>
      <c r="E59" s="23" t="s">
        <v>18</v>
      </c>
      <c r="F59" s="44">
        <f>'Memorial de Cálculo'!L396</f>
        <v>62.18</v>
      </c>
      <c r="G59" s="189">
        <v>310.44</v>
      </c>
      <c r="H59" s="26">
        <f t="shared" si="7"/>
        <v>19303.150000000001</v>
      </c>
    </row>
    <row r="60" spans="1:8" s="2" customFormat="1" ht="38.25" x14ac:dyDescent="0.2">
      <c r="A60" s="21" t="s">
        <v>119</v>
      </c>
      <c r="B60" s="359" t="s">
        <v>120</v>
      </c>
      <c r="C60" s="360"/>
      <c r="D60" s="50" t="s">
        <v>121</v>
      </c>
      <c r="E60" s="29" t="s">
        <v>32</v>
      </c>
      <c r="F60" s="27">
        <f>'Memorial de Cálculo'!L400</f>
        <v>1</v>
      </c>
      <c r="G60" s="308">
        <v>8601.85</v>
      </c>
      <c r="H60" s="26">
        <f t="shared" si="7"/>
        <v>8601.85</v>
      </c>
    </row>
    <row r="61" spans="1:8" s="2" customFormat="1" ht="12.75" x14ac:dyDescent="0.2">
      <c r="A61" s="21" t="s">
        <v>124</v>
      </c>
      <c r="B61" s="29">
        <v>110101</v>
      </c>
      <c r="C61" s="29" t="s">
        <v>16</v>
      </c>
      <c r="D61" s="51" t="s">
        <v>122</v>
      </c>
      <c r="E61" s="29" t="s">
        <v>18</v>
      </c>
      <c r="F61" s="27">
        <f>'Memorial de Cálculo'!L404</f>
        <v>32.25</v>
      </c>
      <c r="G61" s="308">
        <f>TRUNC(9.65*1.2631,2)</f>
        <v>12.18</v>
      </c>
      <c r="H61" s="26">
        <f t="shared" si="7"/>
        <v>392.8</v>
      </c>
    </row>
    <row r="62" spans="1:8" s="2" customFormat="1" ht="12.75" x14ac:dyDescent="0.2">
      <c r="A62" s="21" t="s">
        <v>127</v>
      </c>
      <c r="B62" s="29">
        <v>110302</v>
      </c>
      <c r="C62" s="29" t="s">
        <v>16</v>
      </c>
      <c r="D62" s="51" t="s">
        <v>123</v>
      </c>
      <c r="E62" s="29" t="s">
        <v>18</v>
      </c>
      <c r="F62" s="27">
        <f>'Memorial de Cálculo'!L408</f>
        <v>32.25</v>
      </c>
      <c r="G62" s="308">
        <f>TRUNC(47.42*1.2631,2)</f>
        <v>59.89</v>
      </c>
      <c r="H62" s="26">
        <f t="shared" si="7"/>
        <v>1931.45</v>
      </c>
    </row>
    <row r="63" spans="1:8" s="2" customFormat="1" ht="12.75" x14ac:dyDescent="0.25">
      <c r="A63" s="21" t="s">
        <v>223</v>
      </c>
      <c r="B63" s="31" t="s">
        <v>125</v>
      </c>
      <c r="C63" s="31" t="s">
        <v>16</v>
      </c>
      <c r="D63" s="52" t="s">
        <v>126</v>
      </c>
      <c r="E63" s="23" t="s">
        <v>18</v>
      </c>
      <c r="F63" s="44">
        <f>'Memorial de Cálculo'!L412</f>
        <v>32.25</v>
      </c>
      <c r="G63" s="189">
        <f>TRUNC(19.13*1.2631,2)</f>
        <v>24.16</v>
      </c>
      <c r="H63" s="26">
        <f>TRUNC(F63*G63,2)</f>
        <v>779.16</v>
      </c>
    </row>
    <row r="64" spans="1:8" s="2" customFormat="1" ht="25.5" x14ac:dyDescent="0.25">
      <c r="A64" s="21" t="s">
        <v>224</v>
      </c>
      <c r="B64" s="29">
        <v>200101</v>
      </c>
      <c r="C64" s="29" t="s">
        <v>16</v>
      </c>
      <c r="D64" s="30" t="s">
        <v>128</v>
      </c>
      <c r="E64" s="53" t="s">
        <v>18</v>
      </c>
      <c r="F64" s="44">
        <f>'Memorial de Cálculo'!L417</f>
        <v>69.2</v>
      </c>
      <c r="G64" s="189">
        <f>TRUNC(133.35*1.2631,2)</f>
        <v>168.43</v>
      </c>
      <c r="H64" s="26">
        <f t="shared" si="7"/>
        <v>11655.35</v>
      </c>
    </row>
    <row r="65" spans="1:8" ht="12.75" x14ac:dyDescent="0.25">
      <c r="A65" s="371"/>
      <c r="B65" s="372"/>
      <c r="C65" s="373"/>
      <c r="D65" s="374" t="s">
        <v>129</v>
      </c>
      <c r="E65" s="375"/>
      <c r="F65" s="375"/>
      <c r="G65" s="376"/>
      <c r="H65" s="38">
        <f>SUM(H55:H64)</f>
        <v>63596.72</v>
      </c>
    </row>
    <row r="66" spans="1:8" ht="15" customHeight="1" x14ac:dyDescent="0.25">
      <c r="A66" s="384"/>
      <c r="B66" s="384"/>
      <c r="C66" s="384"/>
      <c r="D66" s="384"/>
      <c r="E66" s="384"/>
      <c r="F66" s="384"/>
      <c r="G66" s="384"/>
      <c r="H66" s="384"/>
    </row>
    <row r="67" spans="1:8" ht="15" customHeight="1" x14ac:dyDescent="0.25">
      <c r="A67" s="16" t="s">
        <v>130</v>
      </c>
      <c r="B67" s="17"/>
      <c r="C67" s="17"/>
      <c r="D67" s="18" t="s">
        <v>131</v>
      </c>
      <c r="E67" s="17"/>
      <c r="F67" s="17"/>
      <c r="G67" s="19"/>
      <c r="H67" s="20"/>
    </row>
    <row r="68" spans="1:8" ht="15" customHeight="1" x14ac:dyDescent="0.25">
      <c r="A68" s="39" t="s">
        <v>132</v>
      </c>
      <c r="B68" s="40"/>
      <c r="C68" s="40"/>
      <c r="D68" s="41" t="s">
        <v>133</v>
      </c>
      <c r="E68" s="40"/>
      <c r="F68" s="40"/>
      <c r="G68" s="42"/>
      <c r="H68" s="43"/>
    </row>
    <row r="69" spans="1:8" s="157" customFormat="1" ht="25.5" x14ac:dyDescent="0.25">
      <c r="A69" s="153" t="s">
        <v>134</v>
      </c>
      <c r="B69" s="387" t="s">
        <v>154</v>
      </c>
      <c r="C69" s="388"/>
      <c r="D69" s="154" t="s">
        <v>136</v>
      </c>
      <c r="E69" s="155" t="s">
        <v>22</v>
      </c>
      <c r="F69" s="156">
        <f>'Memorial de Cálculo'!L423</f>
        <v>61.5</v>
      </c>
      <c r="G69" s="309">
        <v>50.26</v>
      </c>
      <c r="H69" s="26">
        <f>TRUNC(F69*G69,2)</f>
        <v>3090.99</v>
      </c>
    </row>
    <row r="70" spans="1:8" ht="12.75" x14ac:dyDescent="0.25">
      <c r="A70" s="21" t="s">
        <v>137</v>
      </c>
      <c r="B70" s="359" t="s">
        <v>167</v>
      </c>
      <c r="C70" s="360"/>
      <c r="D70" s="45" t="s">
        <v>488</v>
      </c>
      <c r="E70" s="23" t="s">
        <v>18</v>
      </c>
      <c r="F70" s="156">
        <f>'Memorial de Cálculo'!L427</f>
        <v>116.85</v>
      </c>
      <c r="G70" s="189">
        <v>8.9700000000000006</v>
      </c>
      <c r="H70" s="26">
        <f t="shared" ref="H70:H71" si="8">TRUNC(F70*G70,2)</f>
        <v>1048.1400000000001</v>
      </c>
    </row>
    <row r="71" spans="1:8" ht="15" customHeight="1" x14ac:dyDescent="0.25">
      <c r="A71" s="21" t="s">
        <v>139</v>
      </c>
      <c r="B71" s="29">
        <v>200306</v>
      </c>
      <c r="C71" s="23" t="s">
        <v>16</v>
      </c>
      <c r="D71" s="24" t="s">
        <v>140</v>
      </c>
      <c r="E71" s="23" t="s">
        <v>36</v>
      </c>
      <c r="F71" s="156">
        <f>'Memorial de Cálculo'!L431</f>
        <v>10.983899999999998</v>
      </c>
      <c r="G71" s="189">
        <f>TRUNC(128.14*1.2631,2)</f>
        <v>161.85</v>
      </c>
      <c r="H71" s="26">
        <f t="shared" si="8"/>
        <v>1777.74</v>
      </c>
    </row>
    <row r="72" spans="1:8" ht="15" customHeight="1" x14ac:dyDescent="0.2">
      <c r="A72" s="21" t="s">
        <v>141</v>
      </c>
      <c r="B72" s="28" t="s">
        <v>55</v>
      </c>
      <c r="C72" s="29" t="s">
        <v>16</v>
      </c>
      <c r="D72" s="30" t="s">
        <v>56</v>
      </c>
      <c r="E72" s="23" t="s">
        <v>36</v>
      </c>
      <c r="F72" s="156">
        <f>'Memorial de Cálculo'!L435</f>
        <v>12.914999999999999</v>
      </c>
      <c r="G72" s="193">
        <f>TRUNC(41.31*1.2631,2)</f>
        <v>52.17</v>
      </c>
      <c r="H72" s="26">
        <f>TRUNC(F72*G72,2)</f>
        <v>673.77</v>
      </c>
    </row>
    <row r="73" spans="1:8" ht="15" customHeight="1" x14ac:dyDescent="0.25">
      <c r="A73" s="21" t="s">
        <v>142</v>
      </c>
      <c r="B73" s="29">
        <v>140905</v>
      </c>
      <c r="C73" s="23" t="s">
        <v>16</v>
      </c>
      <c r="D73" s="24" t="s">
        <v>773</v>
      </c>
      <c r="E73" s="23" t="s">
        <v>22</v>
      </c>
      <c r="F73" s="156">
        <f>'Memorial de Cálculo'!L439</f>
        <v>2</v>
      </c>
      <c r="G73" s="189">
        <f>TRUNC(98.41*1.2631,2)</f>
        <v>124.3</v>
      </c>
      <c r="H73" s="26">
        <f>TRUNC(F73*G73,2)</f>
        <v>248.6</v>
      </c>
    </row>
    <row r="74" spans="1:8" ht="38.25" x14ac:dyDescent="0.25">
      <c r="A74" s="21" t="s">
        <v>143</v>
      </c>
      <c r="B74" s="29">
        <v>141110</v>
      </c>
      <c r="C74" s="23" t="s">
        <v>16</v>
      </c>
      <c r="D74" s="24" t="s">
        <v>144</v>
      </c>
      <c r="E74" s="23" t="s">
        <v>32</v>
      </c>
      <c r="F74" s="156">
        <f>'Memorial de Cálculo'!L443</f>
        <v>1</v>
      </c>
      <c r="G74" s="189">
        <f>TRUNC(530.35*1.2631,2)</f>
        <v>669.88</v>
      </c>
      <c r="H74" s="26">
        <f>TRUNC(F74*G74,2)</f>
        <v>669.88</v>
      </c>
    </row>
    <row r="75" spans="1:8" ht="12.75" x14ac:dyDescent="0.25">
      <c r="A75" s="39" t="s">
        <v>145</v>
      </c>
      <c r="B75" s="40"/>
      <c r="C75" s="40"/>
      <c r="D75" s="41" t="s">
        <v>146</v>
      </c>
      <c r="E75" s="40"/>
      <c r="F75" s="40"/>
      <c r="G75" s="42"/>
      <c r="H75" s="43"/>
    </row>
    <row r="76" spans="1:8" ht="25.5" x14ac:dyDescent="0.25">
      <c r="A76" s="21" t="s">
        <v>147</v>
      </c>
      <c r="B76" s="359" t="s">
        <v>175</v>
      </c>
      <c r="C76" s="360"/>
      <c r="D76" s="24" t="s">
        <v>484</v>
      </c>
      <c r="E76" s="33" t="s">
        <v>32</v>
      </c>
      <c r="F76" s="46">
        <f>'Memorial de Cálculo'!L448</f>
        <v>2</v>
      </c>
      <c r="G76" s="189">
        <v>2325.25</v>
      </c>
      <c r="H76" s="26">
        <f t="shared" ref="H76:H79" si="9">TRUNC(F76*G76,2)</f>
        <v>4650.5</v>
      </c>
    </row>
    <row r="77" spans="1:8" ht="12.75" x14ac:dyDescent="0.25">
      <c r="A77" s="21" t="s">
        <v>150</v>
      </c>
      <c r="B77" s="359" t="s">
        <v>763</v>
      </c>
      <c r="C77" s="360"/>
      <c r="D77" s="24" t="s">
        <v>152</v>
      </c>
      <c r="E77" s="33" t="s">
        <v>36</v>
      </c>
      <c r="F77" s="46">
        <f>'Memorial de Cálculo'!L452</f>
        <v>88.8</v>
      </c>
      <c r="G77" s="189">
        <v>80.569999999999993</v>
      </c>
      <c r="H77" s="26">
        <f t="shared" si="9"/>
        <v>7154.61</v>
      </c>
    </row>
    <row r="78" spans="1:8" ht="12.75" x14ac:dyDescent="0.25">
      <c r="A78" s="21" t="s">
        <v>153</v>
      </c>
      <c r="B78" s="359" t="s">
        <v>764</v>
      </c>
      <c r="C78" s="360"/>
      <c r="D78" s="54" t="s">
        <v>155</v>
      </c>
      <c r="E78" s="33" t="s">
        <v>36</v>
      </c>
      <c r="F78" s="46">
        <f>'Memorial de Cálculo'!L456</f>
        <v>44.4</v>
      </c>
      <c r="G78" s="309">
        <v>91.1</v>
      </c>
      <c r="H78" s="26">
        <f t="shared" si="9"/>
        <v>4044.84</v>
      </c>
    </row>
    <row r="79" spans="1:8" ht="25.5" x14ac:dyDescent="0.25">
      <c r="A79" s="21" t="s">
        <v>156</v>
      </c>
      <c r="B79" s="29">
        <v>200101</v>
      </c>
      <c r="C79" s="29" t="s">
        <v>16</v>
      </c>
      <c r="D79" s="30" t="s">
        <v>128</v>
      </c>
      <c r="E79" s="53" t="s">
        <v>18</v>
      </c>
      <c r="F79" s="44">
        <f>'Memorial de Cálculo'!L460</f>
        <v>306.57</v>
      </c>
      <c r="G79" s="189">
        <f>TRUNC(133.35*1.2631,2)</f>
        <v>168.43</v>
      </c>
      <c r="H79" s="26">
        <f t="shared" si="9"/>
        <v>51635.58</v>
      </c>
    </row>
    <row r="80" spans="1:8" ht="15" customHeight="1" x14ac:dyDescent="0.25">
      <c r="A80" s="371"/>
      <c r="B80" s="372"/>
      <c r="C80" s="373"/>
      <c r="D80" s="374" t="s">
        <v>157</v>
      </c>
      <c r="E80" s="375"/>
      <c r="F80" s="375"/>
      <c r="G80" s="376"/>
      <c r="H80" s="38">
        <f>SUM(H69:H79)</f>
        <v>74994.649999999994</v>
      </c>
    </row>
    <row r="81" spans="1:8" ht="15" customHeight="1" x14ac:dyDescent="0.25">
      <c r="A81" s="384"/>
      <c r="B81" s="384"/>
      <c r="C81" s="384"/>
      <c r="D81" s="384"/>
      <c r="E81" s="384"/>
      <c r="F81" s="384"/>
      <c r="G81" s="384"/>
      <c r="H81" s="384"/>
    </row>
    <row r="82" spans="1:8" ht="15" customHeight="1" x14ac:dyDescent="0.25">
      <c r="A82" s="16" t="s">
        <v>158</v>
      </c>
      <c r="B82" s="17"/>
      <c r="C82" s="17"/>
      <c r="D82" s="18" t="s">
        <v>159</v>
      </c>
      <c r="E82" s="17"/>
      <c r="F82" s="17"/>
      <c r="G82" s="19"/>
      <c r="H82" s="20"/>
    </row>
    <row r="83" spans="1:8" ht="30" customHeight="1" x14ac:dyDescent="0.25">
      <c r="A83" s="21" t="s">
        <v>160</v>
      </c>
      <c r="B83" s="29">
        <v>140201</v>
      </c>
      <c r="C83" s="29" t="s">
        <v>16</v>
      </c>
      <c r="D83" s="24" t="s">
        <v>692</v>
      </c>
      <c r="E83" s="23" t="s">
        <v>32</v>
      </c>
      <c r="F83" s="44">
        <f>'Memorial de Cálculo'!L465</f>
        <v>1</v>
      </c>
      <c r="G83" s="189">
        <f>TRUNC(243.02*1.2631,2)</f>
        <v>306.95</v>
      </c>
      <c r="H83" s="26">
        <f>TRUNC(F83*G83,2)</f>
        <v>306.95</v>
      </c>
    </row>
    <row r="84" spans="1:8" ht="15" customHeight="1" x14ac:dyDescent="0.25">
      <c r="A84" s="21" t="s">
        <v>161</v>
      </c>
      <c r="B84" s="29">
        <v>140702</v>
      </c>
      <c r="C84" s="29" t="s">
        <v>16</v>
      </c>
      <c r="D84" s="24" t="s">
        <v>162</v>
      </c>
      <c r="E84" s="23" t="s">
        <v>32</v>
      </c>
      <c r="F84" s="44">
        <f>'Memorial de Cálculo'!L469</f>
        <v>1</v>
      </c>
      <c r="G84" s="189">
        <f>TRUNC(140.76*1.2631,2)</f>
        <v>177.79</v>
      </c>
      <c r="H84" s="26">
        <f t="shared" ref="H84" si="10">TRUNC(F84*G84,2)</f>
        <v>177.79</v>
      </c>
    </row>
    <row r="85" spans="1:8" ht="15" customHeight="1" x14ac:dyDescent="0.25">
      <c r="A85" s="371"/>
      <c r="B85" s="372"/>
      <c r="C85" s="373"/>
      <c r="D85" s="374" t="s">
        <v>163</v>
      </c>
      <c r="E85" s="375"/>
      <c r="F85" s="375"/>
      <c r="G85" s="376"/>
      <c r="H85" s="38">
        <f>SUM(H83:H84)</f>
        <v>484.74</v>
      </c>
    </row>
    <row r="86" spans="1:8" ht="15" customHeight="1" x14ac:dyDescent="0.25">
      <c r="A86" s="371"/>
      <c r="B86" s="372"/>
      <c r="C86" s="372"/>
      <c r="D86" s="372"/>
      <c r="E86" s="372"/>
      <c r="F86" s="372"/>
      <c r="G86" s="372"/>
      <c r="H86" s="373"/>
    </row>
    <row r="87" spans="1:8" ht="15" customHeight="1" x14ac:dyDescent="0.25">
      <c r="A87" s="16" t="s">
        <v>164</v>
      </c>
      <c r="B87" s="17"/>
      <c r="C87" s="17"/>
      <c r="D87" s="18" t="s">
        <v>165</v>
      </c>
      <c r="E87" s="17"/>
      <c r="F87" s="17"/>
      <c r="G87" s="19"/>
      <c r="H87" s="20"/>
    </row>
    <row r="88" spans="1:8" ht="25.5" x14ac:dyDescent="0.25">
      <c r="A88" s="21" t="s">
        <v>166</v>
      </c>
      <c r="B88" s="359" t="s">
        <v>767</v>
      </c>
      <c r="C88" s="360"/>
      <c r="D88" s="55" t="s">
        <v>168</v>
      </c>
      <c r="E88" s="23" t="s">
        <v>32</v>
      </c>
      <c r="F88" s="44">
        <f>'Memorial de Cálculo'!L476</f>
        <v>8</v>
      </c>
      <c r="G88" s="189">
        <v>1226.3399999999999</v>
      </c>
      <c r="H88" s="26">
        <f>TRUNC(F88*G88,2)</f>
        <v>9810.7199999999993</v>
      </c>
    </row>
    <row r="89" spans="1:8" ht="12.75" x14ac:dyDescent="0.25">
      <c r="A89" s="21" t="s">
        <v>169</v>
      </c>
      <c r="B89" s="359" t="s">
        <v>135</v>
      </c>
      <c r="C89" s="360"/>
      <c r="D89" s="55" t="s">
        <v>171</v>
      </c>
      <c r="E89" s="23" t="s">
        <v>32</v>
      </c>
      <c r="F89" s="44">
        <f>'Memorial de Cálculo'!L481</f>
        <v>10</v>
      </c>
      <c r="G89" s="189">
        <v>869.09</v>
      </c>
      <c r="H89" s="26">
        <f t="shared" ref="H89:H90" si="11">TRUNC(F89*G89,2)</f>
        <v>8690.9</v>
      </c>
    </row>
    <row r="90" spans="1:8" ht="25.5" x14ac:dyDescent="0.25">
      <c r="A90" s="21" t="s">
        <v>172</v>
      </c>
      <c r="B90" s="359" t="s">
        <v>138</v>
      </c>
      <c r="C90" s="360"/>
      <c r="D90" s="55" t="s">
        <v>173</v>
      </c>
      <c r="E90" s="23" t="s">
        <v>32</v>
      </c>
      <c r="F90" s="44">
        <f>'Memorial de Cálculo'!L485</f>
        <v>12</v>
      </c>
      <c r="G90" s="189">
        <v>305.63</v>
      </c>
      <c r="H90" s="26">
        <f t="shared" si="11"/>
        <v>3667.56</v>
      </c>
    </row>
    <row r="91" spans="1:8" ht="12.75" x14ac:dyDescent="0.25">
      <c r="A91" s="21" t="s">
        <v>174</v>
      </c>
      <c r="B91" s="389" t="s">
        <v>696</v>
      </c>
      <c r="C91" s="390"/>
      <c r="D91" s="30" t="s">
        <v>176</v>
      </c>
      <c r="E91" s="23" t="s">
        <v>32</v>
      </c>
      <c r="F91" s="46">
        <f>'Memorial de Cálculo'!L489</f>
        <v>3</v>
      </c>
      <c r="G91" s="307">
        <v>236</v>
      </c>
      <c r="H91" s="26">
        <f>TRUNC(F91*G91,2)</f>
        <v>708</v>
      </c>
    </row>
    <row r="92" spans="1:8" ht="12.75" x14ac:dyDescent="0.25">
      <c r="A92" s="21" t="s">
        <v>177</v>
      </c>
      <c r="B92" s="359" t="s">
        <v>170</v>
      </c>
      <c r="C92" s="360"/>
      <c r="D92" s="24" t="s">
        <v>179</v>
      </c>
      <c r="E92" s="23" t="s">
        <v>32</v>
      </c>
      <c r="F92" s="44">
        <f>'Memorial de Cálculo'!L493</f>
        <v>1</v>
      </c>
      <c r="G92" s="189">
        <v>286.88</v>
      </c>
      <c r="H92" s="26">
        <f>TRUNC(F92*G92,2)</f>
        <v>286.88</v>
      </c>
    </row>
    <row r="93" spans="1:8" ht="15" customHeight="1" x14ac:dyDescent="0.25">
      <c r="A93" s="371"/>
      <c r="B93" s="372"/>
      <c r="C93" s="373"/>
      <c r="D93" s="374" t="s">
        <v>180</v>
      </c>
      <c r="E93" s="375"/>
      <c r="F93" s="375"/>
      <c r="G93" s="376"/>
      <c r="H93" s="38">
        <f>SUM(H88:H92)</f>
        <v>23164.06</v>
      </c>
    </row>
    <row r="94" spans="1:8" ht="15" customHeight="1" x14ac:dyDescent="0.25">
      <c r="A94" s="384"/>
      <c r="B94" s="384"/>
      <c r="C94" s="384"/>
      <c r="D94" s="384"/>
      <c r="E94" s="384"/>
      <c r="F94" s="384"/>
      <c r="G94" s="384"/>
      <c r="H94" s="384"/>
    </row>
    <row r="95" spans="1:8" ht="15" customHeight="1" x14ac:dyDescent="0.25">
      <c r="A95" s="16" t="s">
        <v>181</v>
      </c>
      <c r="B95" s="17"/>
      <c r="C95" s="17"/>
      <c r="D95" s="18" t="s">
        <v>182</v>
      </c>
      <c r="E95" s="17"/>
      <c r="F95" s="17"/>
      <c r="G95" s="19"/>
      <c r="H95" s="20"/>
    </row>
    <row r="96" spans="1:8" ht="25.5" x14ac:dyDescent="0.25">
      <c r="A96" s="4" t="s">
        <v>183</v>
      </c>
      <c r="B96" s="29">
        <v>200237</v>
      </c>
      <c r="C96" s="23" t="s">
        <v>16</v>
      </c>
      <c r="D96" s="36" t="s">
        <v>184</v>
      </c>
      <c r="E96" s="23" t="s">
        <v>18</v>
      </c>
      <c r="F96" s="44">
        <f>'Memorial de Cálculo'!L499</f>
        <v>299.77999999999997</v>
      </c>
      <c r="G96" s="189">
        <f>TRUNC(50.46*1.2631,2)</f>
        <v>63.73</v>
      </c>
      <c r="H96" s="26">
        <f t="shared" ref="H96:H100" si="12">TRUNC(F96*G96,2)</f>
        <v>19104.97</v>
      </c>
    </row>
    <row r="97" spans="1:8" ht="25.5" x14ac:dyDescent="0.25">
      <c r="A97" s="4" t="s">
        <v>185</v>
      </c>
      <c r="B97" s="23">
        <v>200202</v>
      </c>
      <c r="C97" s="49" t="s">
        <v>16</v>
      </c>
      <c r="D97" s="36" t="s">
        <v>111</v>
      </c>
      <c r="E97" s="23" t="s">
        <v>22</v>
      </c>
      <c r="F97" s="44">
        <f>'Memorial de Cálculo'!L504</f>
        <v>120.24000000000001</v>
      </c>
      <c r="G97" s="189">
        <f>TRUNC(40.59*1.2631,2)</f>
        <v>51.26</v>
      </c>
      <c r="H97" s="26">
        <f t="shared" si="12"/>
        <v>6163.5</v>
      </c>
    </row>
    <row r="98" spans="1:8" ht="25.5" x14ac:dyDescent="0.25">
      <c r="A98" s="4" t="s">
        <v>186</v>
      </c>
      <c r="B98" s="23">
        <v>200253</v>
      </c>
      <c r="C98" s="49" t="s">
        <v>16</v>
      </c>
      <c r="D98" s="36" t="s">
        <v>187</v>
      </c>
      <c r="E98" s="23" t="s">
        <v>18</v>
      </c>
      <c r="F98" s="44">
        <f>'Memorial de Cálculo'!L509</f>
        <v>24.55</v>
      </c>
      <c r="G98" s="189">
        <f>TRUNC(50.95*1.2631,2)</f>
        <v>64.349999999999994</v>
      </c>
      <c r="H98" s="26">
        <f t="shared" si="12"/>
        <v>1579.79</v>
      </c>
    </row>
    <row r="99" spans="1:8" ht="25.5" x14ac:dyDescent="0.25">
      <c r="A99" s="4" t="s">
        <v>188</v>
      </c>
      <c r="B99" s="48" t="s">
        <v>70</v>
      </c>
      <c r="C99" s="49" t="s">
        <v>16</v>
      </c>
      <c r="D99" s="36" t="s">
        <v>71</v>
      </c>
      <c r="E99" s="23" t="s">
        <v>18</v>
      </c>
      <c r="F99" s="44">
        <f>'Memorial de Cálculo'!L514</f>
        <v>5.2239999999999993</v>
      </c>
      <c r="G99" s="189">
        <f>TRUNC(60.05*1.2631,2)</f>
        <v>75.84</v>
      </c>
      <c r="H99" s="26">
        <f t="shared" si="12"/>
        <v>396.18</v>
      </c>
    </row>
    <row r="100" spans="1:8" ht="15" customHeight="1" x14ac:dyDescent="0.25">
      <c r="A100" s="27" t="s">
        <v>702</v>
      </c>
      <c r="B100" s="21" t="s">
        <v>108</v>
      </c>
      <c r="C100" s="23" t="s">
        <v>16</v>
      </c>
      <c r="D100" s="36" t="s">
        <v>109</v>
      </c>
      <c r="E100" s="23" t="s">
        <v>36</v>
      </c>
      <c r="F100" s="44">
        <f>'Memorial de Cálculo'!L520</f>
        <v>1.4729999999999999</v>
      </c>
      <c r="G100" s="189">
        <f>TRUNC(422.28*1.2631,2)</f>
        <v>533.38</v>
      </c>
      <c r="H100" s="26">
        <f t="shared" si="12"/>
        <v>785.66</v>
      </c>
    </row>
    <row r="101" spans="1:8" ht="15" customHeight="1" x14ac:dyDescent="0.25">
      <c r="A101" s="371"/>
      <c r="B101" s="372"/>
      <c r="C101" s="373"/>
      <c r="D101" s="374" t="s">
        <v>189</v>
      </c>
      <c r="E101" s="375"/>
      <c r="F101" s="375"/>
      <c r="G101" s="376"/>
      <c r="H101" s="38">
        <f>SUM(H96:H100)</f>
        <v>28030.100000000002</v>
      </c>
    </row>
    <row r="102" spans="1:8" ht="15" customHeight="1" x14ac:dyDescent="0.25">
      <c r="A102" s="4"/>
      <c r="B102" s="56"/>
      <c r="C102" s="57"/>
      <c r="D102" s="58"/>
      <c r="E102" s="57"/>
      <c r="F102" s="59"/>
      <c r="G102" s="60"/>
      <c r="H102" s="61"/>
    </row>
    <row r="103" spans="1:8" ht="15" customHeight="1" x14ac:dyDescent="0.25">
      <c r="A103" s="16" t="s">
        <v>190</v>
      </c>
      <c r="B103" s="17"/>
      <c r="C103" s="17"/>
      <c r="D103" s="18" t="s">
        <v>191</v>
      </c>
      <c r="E103" s="17"/>
      <c r="F103" s="17"/>
      <c r="G103" s="19"/>
      <c r="H103" s="20"/>
    </row>
    <row r="104" spans="1:8" ht="25.5" x14ac:dyDescent="0.25">
      <c r="A104" s="21" t="s">
        <v>192</v>
      </c>
      <c r="B104" s="391" t="s">
        <v>194</v>
      </c>
      <c r="C104" s="392"/>
      <c r="D104" s="180" t="s">
        <v>195</v>
      </c>
      <c r="E104" s="23" t="s">
        <v>32</v>
      </c>
      <c r="F104" s="25">
        <f>'Memorial de Cálculo'!L526</f>
        <v>4</v>
      </c>
      <c r="G104" s="189">
        <v>898.29</v>
      </c>
      <c r="H104" s="179">
        <f>TRUNC(F104*G104,2)</f>
        <v>3593.16</v>
      </c>
    </row>
    <row r="105" spans="1:8" ht="12.75" x14ac:dyDescent="0.25">
      <c r="A105" s="21" t="s">
        <v>193</v>
      </c>
      <c r="B105" s="62" t="s">
        <v>197</v>
      </c>
      <c r="C105" s="31" t="s">
        <v>28</v>
      </c>
      <c r="D105" s="180" t="s">
        <v>198</v>
      </c>
      <c r="E105" s="23" t="s">
        <v>22</v>
      </c>
      <c r="F105" s="25">
        <f>'Memorial de Cálculo'!L530</f>
        <v>1.96</v>
      </c>
      <c r="G105" s="189">
        <f>TRUNC(76.6*1.2631,2)</f>
        <v>96.75</v>
      </c>
      <c r="H105" s="179">
        <f t="shared" ref="H105" si="13">TRUNC(F105*G105,2)</f>
        <v>189.63</v>
      </c>
    </row>
    <row r="106" spans="1:8" ht="25.5" x14ac:dyDescent="0.25">
      <c r="A106" s="21" t="s">
        <v>196</v>
      </c>
      <c r="B106" s="31" t="s">
        <v>200</v>
      </c>
      <c r="C106" s="31" t="s">
        <v>16</v>
      </c>
      <c r="D106" s="32" t="s">
        <v>201</v>
      </c>
      <c r="E106" s="23" t="s">
        <v>22</v>
      </c>
      <c r="F106" s="25">
        <f>'Memorial de Cálculo'!L536</f>
        <v>30</v>
      </c>
      <c r="G106" s="189">
        <f>TRUNC(142.17*1.2631,2)</f>
        <v>179.57</v>
      </c>
      <c r="H106" s="179">
        <f>TRUNC(F106*G106,2)</f>
        <v>5387.1</v>
      </c>
    </row>
    <row r="107" spans="1:8" ht="15" customHeight="1" x14ac:dyDescent="0.25">
      <c r="A107" s="21" t="s">
        <v>199</v>
      </c>
      <c r="B107" s="31" t="s">
        <v>202</v>
      </c>
      <c r="C107" s="31" t="s">
        <v>16</v>
      </c>
      <c r="D107" s="181" t="s">
        <v>203</v>
      </c>
      <c r="E107" s="31" t="s">
        <v>18</v>
      </c>
      <c r="F107" s="25">
        <f>'Memorial de Cálculo'!L540</f>
        <v>1038.81</v>
      </c>
      <c r="G107" s="189">
        <f>TRUNC(0.89*1.2631,2)</f>
        <v>1.1200000000000001</v>
      </c>
      <c r="H107" s="179">
        <f t="shared" ref="H107" si="14">TRUNC(F107*G107,2)</f>
        <v>1163.46</v>
      </c>
    </row>
    <row r="108" spans="1:8" ht="15" customHeight="1" x14ac:dyDescent="0.25">
      <c r="A108" s="361"/>
      <c r="B108" s="362"/>
      <c r="C108" s="363"/>
      <c r="D108" s="364" t="s">
        <v>204</v>
      </c>
      <c r="E108" s="365"/>
      <c r="F108" s="365"/>
      <c r="G108" s="366"/>
      <c r="H108" s="182">
        <f>SUM(H104:H107)</f>
        <v>10333.349999999999</v>
      </c>
    </row>
    <row r="109" spans="1:8" ht="15" customHeight="1" x14ac:dyDescent="0.25">
      <c r="A109" s="183"/>
      <c r="B109" s="183"/>
      <c r="C109" s="183"/>
      <c r="D109" s="184"/>
      <c r="E109" s="183"/>
      <c r="F109" s="183"/>
      <c r="G109" s="185"/>
      <c r="H109" s="186"/>
    </row>
    <row r="110" spans="1:8" ht="15" customHeight="1" x14ac:dyDescent="0.25">
      <c r="A110" s="361"/>
      <c r="B110" s="362"/>
      <c r="C110" s="363"/>
      <c r="D110" s="364" t="s">
        <v>487</v>
      </c>
      <c r="E110" s="365"/>
      <c r="F110" s="365"/>
      <c r="G110" s="366"/>
      <c r="H110" s="182">
        <f>SUM(H20,H52,H65,H80,H93,H101,H108,H85)</f>
        <v>290111.82999999996</v>
      </c>
    </row>
  </sheetData>
  <mergeCells count="53">
    <mergeCell ref="B104:C104"/>
    <mergeCell ref="A108:C108"/>
    <mergeCell ref="D108:G108"/>
    <mergeCell ref="A93:C93"/>
    <mergeCell ref="D93:G93"/>
    <mergeCell ref="A94:H94"/>
    <mergeCell ref="A101:C101"/>
    <mergeCell ref="D101:G101"/>
    <mergeCell ref="B92:C92"/>
    <mergeCell ref="B77:C77"/>
    <mergeCell ref="B78:C78"/>
    <mergeCell ref="A80:C80"/>
    <mergeCell ref="D80:G80"/>
    <mergeCell ref="A81:H81"/>
    <mergeCell ref="A85:C85"/>
    <mergeCell ref="D85:G85"/>
    <mergeCell ref="A86:H86"/>
    <mergeCell ref="B88:C88"/>
    <mergeCell ref="B89:C89"/>
    <mergeCell ref="B90:C90"/>
    <mergeCell ref="B91:C91"/>
    <mergeCell ref="B60:C60"/>
    <mergeCell ref="A65:C65"/>
    <mergeCell ref="D65:G65"/>
    <mergeCell ref="A66:H66"/>
    <mergeCell ref="B69:C69"/>
    <mergeCell ref="A52:C52"/>
    <mergeCell ref="D52:G52"/>
    <mergeCell ref="A53:H53"/>
    <mergeCell ref="B58:C58"/>
    <mergeCell ref="B59:C59"/>
    <mergeCell ref="A2:D2"/>
    <mergeCell ref="G1:H1"/>
    <mergeCell ref="B16:C16"/>
    <mergeCell ref="B17:C17"/>
    <mergeCell ref="E4:F5"/>
    <mergeCell ref="A1:F1"/>
    <mergeCell ref="B76:C76"/>
    <mergeCell ref="A110:C110"/>
    <mergeCell ref="D110:G110"/>
    <mergeCell ref="E3:F3"/>
    <mergeCell ref="A21:H21"/>
    <mergeCell ref="A6:A7"/>
    <mergeCell ref="B6:B7"/>
    <mergeCell ref="C6:C7"/>
    <mergeCell ref="D6:D7"/>
    <mergeCell ref="E6:E7"/>
    <mergeCell ref="F6:F7"/>
    <mergeCell ref="G6:H6"/>
    <mergeCell ref="A20:C20"/>
    <mergeCell ref="D20:G20"/>
    <mergeCell ref="B70:C70"/>
    <mergeCell ref="B49:C49"/>
  </mergeCells>
  <phoneticPr fontId="4" type="noConversion"/>
  <printOptions horizontalCentered="1" gridLines="1"/>
  <pageMargins left="0.39370078740157483" right="0.39370078740157483" top="0.78740157480314965" bottom="0.55118110236220474" header="0" footer="0"/>
  <pageSetup paperSize="9" scale="76" fitToHeight="3" orientation="landscape" r:id="rId1"/>
  <headerFooter>
    <oddHeader>&amp;C&amp;G</oddHeader>
    <oddFooter>&amp;R&amp;"Arial,Negrito"Catarina Demoner Diniz
&amp;"Arial,Itálico"&amp;9Engenheira Civil - CREA ES-0048118/D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4DE6C-4E59-4A75-989B-488EAE223C91}">
  <sheetPr>
    <pageSetUpPr fitToPage="1"/>
  </sheetPr>
  <dimension ref="A1:U541"/>
  <sheetViews>
    <sheetView showGridLines="0" view="pageBreakPreview" zoomScaleNormal="100" zoomScaleSheetLayoutView="100" workbookViewId="0">
      <pane xSplit="14" ySplit="6" topLeftCell="O7" activePane="bottomRight" state="frozen"/>
      <selection pane="topRight" activeCell="N1" sqref="N1"/>
      <selection pane="bottomLeft" activeCell="A7" sqref="A7"/>
      <selection pane="bottomRight" sqref="A1:M1"/>
    </sheetView>
  </sheetViews>
  <sheetFormatPr defaultRowHeight="12.75" x14ac:dyDescent="0.2"/>
  <cols>
    <col min="1" max="1" width="6.28515625" style="65" bestFit="1" customWidth="1"/>
    <col min="2" max="2" width="72.85546875" style="65" customWidth="1"/>
    <col min="3" max="3" width="15.28515625" style="65" bestFit="1" customWidth="1"/>
    <col min="4" max="4" width="16.7109375" style="65" customWidth="1"/>
    <col min="5" max="5" width="12" style="65" customWidth="1"/>
    <col min="6" max="6" width="9.85546875" style="65" bestFit="1" customWidth="1"/>
    <col min="7" max="7" width="8.140625" style="65" customWidth="1"/>
    <col min="8" max="9" width="10.5703125" style="65" customWidth="1"/>
    <col min="10" max="11" width="8.140625" style="65" customWidth="1"/>
    <col min="12" max="12" width="9.85546875" style="95" bestFit="1" customWidth="1"/>
    <col min="13" max="13" width="10.28515625" style="65" customWidth="1"/>
    <col min="14" max="14" width="0.42578125" style="65" hidden="1" customWidth="1"/>
    <col min="15" max="16384" width="9.140625" style="65"/>
  </cols>
  <sheetData>
    <row r="1" spans="1:14" ht="14.25" x14ac:dyDescent="0.2">
      <c r="A1" s="411" t="s">
        <v>205</v>
      </c>
      <c r="B1" s="412"/>
      <c r="C1" s="412"/>
      <c r="D1" s="412"/>
      <c r="E1" s="412"/>
      <c r="F1" s="412"/>
      <c r="G1" s="412"/>
      <c r="H1" s="412"/>
      <c r="I1" s="412"/>
      <c r="J1" s="412"/>
      <c r="K1" s="412"/>
      <c r="L1" s="412"/>
      <c r="M1" s="413"/>
    </row>
    <row r="2" spans="1:14" x14ac:dyDescent="0.2">
      <c r="A2" s="409" t="s">
        <v>490</v>
      </c>
      <c r="B2" s="410"/>
      <c r="C2" s="410"/>
      <c r="D2" s="410"/>
      <c r="E2" s="66"/>
      <c r="F2" s="67"/>
      <c r="G2" s="417"/>
      <c r="H2" s="417"/>
      <c r="I2" s="417"/>
      <c r="J2" s="417"/>
      <c r="K2" s="417"/>
      <c r="L2" s="417"/>
      <c r="M2" s="418"/>
    </row>
    <row r="3" spans="1:14" x14ac:dyDescent="0.2">
      <c r="A3" s="409" t="s">
        <v>491</v>
      </c>
      <c r="B3" s="410"/>
      <c r="C3" s="68"/>
      <c r="D3" s="316"/>
      <c r="E3" s="421"/>
      <c r="F3" s="421"/>
      <c r="G3" s="419" t="s">
        <v>769</v>
      </c>
      <c r="H3" s="419"/>
      <c r="I3" s="419"/>
      <c r="J3" s="419"/>
      <c r="K3" s="419"/>
      <c r="L3" s="419"/>
      <c r="M3" s="420"/>
    </row>
    <row r="4" spans="1:14" x14ac:dyDescent="0.2">
      <c r="A4" s="407" t="s">
        <v>493</v>
      </c>
      <c r="B4" s="408"/>
      <c r="C4" s="408"/>
      <c r="D4" s="408"/>
      <c r="E4" s="69"/>
      <c r="F4" s="69"/>
      <c r="G4" s="417"/>
      <c r="H4" s="417"/>
      <c r="I4" s="417"/>
      <c r="J4" s="417"/>
      <c r="K4" s="417"/>
      <c r="L4" s="417"/>
      <c r="M4" s="418"/>
    </row>
    <row r="5" spans="1:14" x14ac:dyDescent="0.2">
      <c r="A5" s="414"/>
      <c r="B5" s="415"/>
      <c r="C5" s="415"/>
      <c r="D5" s="415"/>
      <c r="E5" s="415"/>
      <c r="F5" s="415"/>
      <c r="G5" s="415"/>
      <c r="H5" s="415"/>
      <c r="I5" s="415"/>
      <c r="J5" s="415"/>
      <c r="K5" s="415"/>
      <c r="L5" s="415"/>
      <c r="M5" s="416"/>
    </row>
    <row r="6" spans="1:14" s="73" customFormat="1" ht="25.5" x14ac:dyDescent="0.2">
      <c r="A6" s="70" t="s">
        <v>3</v>
      </c>
      <c r="B6" s="70" t="s">
        <v>206</v>
      </c>
      <c r="C6" s="71" t="s">
        <v>225</v>
      </c>
      <c r="D6" s="71" t="s">
        <v>208</v>
      </c>
      <c r="E6" s="71" t="s">
        <v>207</v>
      </c>
      <c r="F6" s="71" t="s">
        <v>209</v>
      </c>
      <c r="G6" s="71" t="s">
        <v>210</v>
      </c>
      <c r="H6" s="71" t="s">
        <v>211</v>
      </c>
      <c r="I6" s="71" t="s">
        <v>499</v>
      </c>
      <c r="J6" s="71" t="s">
        <v>212</v>
      </c>
      <c r="K6" s="71" t="s">
        <v>679</v>
      </c>
      <c r="L6" s="72" t="s">
        <v>11</v>
      </c>
      <c r="M6" s="70" t="s">
        <v>7</v>
      </c>
    </row>
    <row r="7" spans="1:14" x14ac:dyDescent="0.2">
      <c r="A7" s="74" t="s">
        <v>12</v>
      </c>
      <c r="B7" s="422" t="str">
        <f>'Planilha Orçamentária'!D8</f>
        <v>SERVIÇOS PRELIMINARES</v>
      </c>
      <c r="C7" s="423"/>
      <c r="D7" s="423"/>
      <c r="E7" s="423"/>
      <c r="F7" s="423"/>
      <c r="G7" s="423"/>
      <c r="H7" s="423"/>
      <c r="I7" s="423"/>
      <c r="J7" s="423"/>
      <c r="K7" s="423"/>
      <c r="L7" s="424"/>
      <c r="M7" s="75"/>
      <c r="N7" s="91"/>
    </row>
    <row r="8" spans="1:14" x14ac:dyDescent="0.2">
      <c r="A8" s="77" t="s">
        <v>14</v>
      </c>
      <c r="B8" s="425" t="str">
        <f>'Planilha Orçamentária'!D9</f>
        <v>Placa de obra nas dimensões de 2.0 x 4.0 m, padrão PMI</v>
      </c>
      <c r="C8" s="426"/>
      <c r="D8" s="426"/>
      <c r="E8" s="426"/>
      <c r="F8" s="426"/>
      <c r="G8" s="426"/>
      <c r="H8" s="426"/>
      <c r="I8" s="426"/>
      <c r="J8" s="426"/>
      <c r="K8" s="426"/>
      <c r="L8" s="427"/>
      <c r="M8" s="78"/>
    </row>
    <row r="9" spans="1:14" x14ac:dyDescent="0.2">
      <c r="A9" s="79"/>
      <c r="B9" s="76" t="s">
        <v>213</v>
      </c>
      <c r="C9" s="80"/>
      <c r="D9" s="80">
        <v>4</v>
      </c>
      <c r="E9" s="80"/>
      <c r="F9" s="80">
        <v>2</v>
      </c>
      <c r="G9" s="80">
        <f>TRUNC(F9*D9,22)</f>
        <v>8</v>
      </c>
      <c r="H9" s="80"/>
      <c r="I9" s="80"/>
      <c r="J9" s="80"/>
      <c r="K9" s="80"/>
      <c r="L9" s="81">
        <f>G9</f>
        <v>8</v>
      </c>
      <c r="M9" s="82"/>
    </row>
    <row r="10" spans="1:14" x14ac:dyDescent="0.2">
      <c r="A10" s="79"/>
      <c r="B10" s="83" t="s">
        <v>8</v>
      </c>
      <c r="C10" s="84"/>
      <c r="D10" s="84"/>
      <c r="E10" s="84"/>
      <c r="F10" s="84"/>
      <c r="G10" s="84"/>
      <c r="H10" s="84"/>
      <c r="I10" s="84"/>
      <c r="J10" s="84"/>
      <c r="K10" s="84"/>
      <c r="L10" s="85">
        <f>L9</f>
        <v>8</v>
      </c>
      <c r="M10" s="86" t="s">
        <v>18</v>
      </c>
    </row>
    <row r="11" spans="1:14" x14ac:dyDescent="0.2">
      <c r="A11" s="78"/>
      <c r="B11" s="91"/>
      <c r="C11" s="91"/>
      <c r="D11" s="91"/>
      <c r="E11" s="91"/>
      <c r="F11" s="91"/>
      <c r="G11" s="91"/>
      <c r="H11" s="91"/>
      <c r="I11" s="91"/>
      <c r="J11" s="91"/>
      <c r="K11" s="91"/>
      <c r="L11" s="87"/>
      <c r="M11" s="88"/>
    </row>
    <row r="12" spans="1:14" ht="30" customHeight="1" x14ac:dyDescent="0.2">
      <c r="A12" s="89" t="s">
        <v>19</v>
      </c>
      <c r="B12" s="405" t="str">
        <f>'Planilha Orçamentária'!D10</f>
        <v>Tapume Telha Metálica Ondulada 0,50mm Branca h=2,20m, incl. montagem estr. mad. 8"x8", c/adesivo "IOPES" 60x60cm a cada 10m, incl. faixas pint. esmalte sint. cores azul c/ h=30cm e rosa c/ h=10cm (Reaproveitamento 2x)</v>
      </c>
      <c r="C12" s="405"/>
      <c r="D12" s="405"/>
      <c r="E12" s="405"/>
      <c r="F12" s="405"/>
      <c r="G12" s="405"/>
      <c r="H12" s="405"/>
      <c r="I12" s="405"/>
      <c r="J12" s="405"/>
      <c r="K12" s="405"/>
      <c r="L12" s="406"/>
      <c r="M12" s="78"/>
    </row>
    <row r="13" spans="1:14" x14ac:dyDescent="0.2">
      <c r="A13" s="90"/>
      <c r="B13" s="91" t="s">
        <v>494</v>
      </c>
      <c r="C13" s="80"/>
      <c r="D13" s="80">
        <v>123.81</v>
      </c>
      <c r="E13" s="80"/>
      <c r="F13" s="80"/>
      <c r="G13" s="80"/>
      <c r="H13" s="80"/>
      <c r="I13" s="80"/>
      <c r="J13" s="80"/>
      <c r="K13" s="80"/>
      <c r="L13" s="81">
        <f>D13</f>
        <v>123.81</v>
      </c>
      <c r="M13" s="82"/>
    </row>
    <row r="14" spans="1:14" x14ac:dyDescent="0.2">
      <c r="A14" s="90"/>
      <c r="B14" s="92" t="s">
        <v>8</v>
      </c>
      <c r="C14" s="84"/>
      <c r="D14" s="84"/>
      <c r="E14" s="84"/>
      <c r="F14" s="84"/>
      <c r="G14" s="84"/>
      <c r="H14" s="84"/>
      <c r="I14" s="84"/>
      <c r="J14" s="84"/>
      <c r="K14" s="84"/>
      <c r="L14" s="85">
        <f>SUM(L13:L13)</f>
        <v>123.81</v>
      </c>
      <c r="M14" s="86" t="s">
        <v>22</v>
      </c>
    </row>
    <row r="15" spans="1:14" x14ac:dyDescent="0.2">
      <c r="A15" s="78"/>
      <c r="B15" s="91"/>
      <c r="C15" s="91"/>
      <c r="D15" s="91"/>
      <c r="E15" s="91"/>
      <c r="F15" s="91"/>
      <c r="G15" s="91"/>
      <c r="H15" s="91"/>
      <c r="I15" s="91"/>
      <c r="J15" s="91"/>
      <c r="K15" s="91"/>
      <c r="L15" s="87"/>
      <c r="M15" s="78"/>
    </row>
    <row r="16" spans="1:14" x14ac:dyDescent="0.2">
      <c r="A16" s="89" t="s">
        <v>23</v>
      </c>
      <c r="B16" s="405" t="str">
        <f>'Planilha Orçamentária'!D11</f>
        <v>Aluguel mensal container para almoxarifado, incl. porta, 2 janelas, 1 pt iluminação, Isolamento térmico (teto), piso em comp. Naval pintado, cert. NR18, incl. laudo descontaminação.</v>
      </c>
      <c r="C16" s="405"/>
      <c r="D16" s="405"/>
      <c r="E16" s="405"/>
      <c r="F16" s="405"/>
      <c r="G16" s="405"/>
      <c r="H16" s="405"/>
      <c r="I16" s="405"/>
      <c r="J16" s="405"/>
      <c r="K16" s="405"/>
      <c r="L16" s="406"/>
      <c r="M16" s="78"/>
    </row>
    <row r="17" spans="1:14" x14ac:dyDescent="0.2">
      <c r="A17" s="79"/>
      <c r="B17" s="76" t="s">
        <v>214</v>
      </c>
      <c r="C17" s="80">
        <v>3</v>
      </c>
      <c r="D17" s="80"/>
      <c r="E17" s="80"/>
      <c r="F17" s="80"/>
      <c r="G17" s="80"/>
      <c r="H17" s="80"/>
      <c r="I17" s="80"/>
      <c r="J17" s="80"/>
      <c r="K17" s="80"/>
      <c r="L17" s="81">
        <f>C17</f>
        <v>3</v>
      </c>
      <c r="M17" s="93"/>
    </row>
    <row r="18" spans="1:14" x14ac:dyDescent="0.2">
      <c r="A18" s="79"/>
      <c r="B18" s="83" t="s">
        <v>8</v>
      </c>
      <c r="C18" s="84"/>
      <c r="D18" s="84"/>
      <c r="E18" s="84"/>
      <c r="F18" s="84"/>
      <c r="G18" s="84"/>
      <c r="H18" s="84"/>
      <c r="I18" s="84"/>
      <c r="J18" s="84"/>
      <c r="K18" s="84"/>
      <c r="L18" s="85">
        <f>L17</f>
        <v>3</v>
      </c>
      <c r="M18" s="86" t="s">
        <v>26</v>
      </c>
    </row>
    <row r="19" spans="1:14" x14ac:dyDescent="0.2">
      <c r="A19" s="76"/>
      <c r="B19" s="94"/>
      <c r="C19" s="91"/>
      <c r="D19" s="91"/>
      <c r="E19" s="91"/>
      <c r="F19" s="91"/>
      <c r="G19" s="91"/>
      <c r="H19" s="91"/>
      <c r="I19" s="91"/>
      <c r="J19" s="91"/>
      <c r="K19" s="91"/>
      <c r="L19" s="320"/>
      <c r="M19" s="88"/>
      <c r="N19" s="91"/>
    </row>
    <row r="20" spans="1:14" x14ac:dyDescent="0.2">
      <c r="A20" s="89" t="s">
        <v>27</v>
      </c>
      <c r="B20" s="405" t="str">
        <f>'Planilha Orçamentária'!D12</f>
        <v>Poda em altura de árvore com diâmetro de tronco menor que 0,20 m</v>
      </c>
      <c r="C20" s="405"/>
      <c r="D20" s="405"/>
      <c r="E20" s="405"/>
      <c r="F20" s="405"/>
      <c r="G20" s="405"/>
      <c r="H20" s="405"/>
      <c r="I20" s="405"/>
      <c r="J20" s="405"/>
      <c r="K20" s="405"/>
      <c r="L20" s="406"/>
      <c r="M20" s="78"/>
    </row>
    <row r="21" spans="1:14" x14ac:dyDescent="0.2">
      <c r="A21" s="90"/>
      <c r="B21" s="91" t="s">
        <v>496</v>
      </c>
      <c r="C21" s="80">
        <v>2</v>
      </c>
      <c r="D21" s="80"/>
      <c r="E21" s="80"/>
      <c r="F21" s="80"/>
      <c r="G21" s="80"/>
      <c r="H21" s="80"/>
      <c r="I21" s="80"/>
      <c r="J21" s="80"/>
      <c r="K21" s="80"/>
      <c r="L21" s="81">
        <f>C21</f>
        <v>2</v>
      </c>
      <c r="M21" s="82"/>
    </row>
    <row r="22" spans="1:14" x14ac:dyDescent="0.2">
      <c r="A22" s="90"/>
      <c r="B22" s="92" t="s">
        <v>8</v>
      </c>
      <c r="C22" s="84"/>
      <c r="D22" s="84"/>
      <c r="E22" s="84"/>
      <c r="F22" s="84"/>
      <c r="G22" s="84"/>
      <c r="H22" s="84"/>
      <c r="I22" s="84"/>
      <c r="J22" s="84"/>
      <c r="K22" s="84"/>
      <c r="L22" s="85">
        <f>SUM(L21:L21)</f>
        <v>2</v>
      </c>
      <c r="M22" s="86" t="s">
        <v>32</v>
      </c>
    </row>
    <row r="23" spans="1:14" x14ac:dyDescent="0.2">
      <c r="A23" s="78"/>
      <c r="B23" s="91"/>
      <c r="C23" s="91"/>
      <c r="D23" s="91"/>
      <c r="E23" s="91"/>
      <c r="F23" s="91"/>
      <c r="G23" s="91"/>
      <c r="H23" s="91"/>
      <c r="I23" s="91"/>
      <c r="J23" s="91"/>
      <c r="K23" s="91"/>
      <c r="L23" s="87"/>
      <c r="M23" s="78"/>
    </row>
    <row r="24" spans="1:14" x14ac:dyDescent="0.2">
      <c r="A24" s="89" t="s">
        <v>29</v>
      </c>
      <c r="B24" s="405" t="str">
        <f>'Planilha Orçamentária'!D13</f>
        <v>Escavação mecânica em material de 1a. Categoria</v>
      </c>
      <c r="C24" s="405"/>
      <c r="D24" s="405"/>
      <c r="E24" s="405"/>
      <c r="F24" s="405"/>
      <c r="G24" s="405"/>
      <c r="H24" s="405"/>
      <c r="I24" s="405"/>
      <c r="J24" s="405"/>
      <c r="K24" s="405"/>
      <c r="L24" s="406"/>
      <c r="M24" s="78"/>
    </row>
    <row r="25" spans="1:14" x14ac:dyDescent="0.2">
      <c r="A25" s="79"/>
      <c r="B25" s="76" t="s">
        <v>500</v>
      </c>
      <c r="C25" s="80"/>
      <c r="D25" s="80">
        <v>28.6</v>
      </c>
      <c r="E25" s="96">
        <v>0.91</v>
      </c>
      <c r="F25" s="80">
        <v>1.25</v>
      </c>
      <c r="G25" s="80"/>
      <c r="H25" s="80">
        <f>TRUNC(D25*E25*F25,2)</f>
        <v>32.53</v>
      </c>
      <c r="I25" s="80"/>
      <c r="J25" s="80"/>
      <c r="K25" s="80"/>
      <c r="L25" s="81">
        <f>H25</f>
        <v>32.53</v>
      </c>
      <c r="M25" s="93"/>
    </row>
    <row r="26" spans="1:14" x14ac:dyDescent="0.2">
      <c r="A26" s="79"/>
      <c r="B26" s="83" t="s">
        <v>8</v>
      </c>
      <c r="C26" s="84"/>
      <c r="D26" s="84"/>
      <c r="E26" s="84"/>
      <c r="F26" s="84"/>
      <c r="G26" s="84"/>
      <c r="H26" s="84"/>
      <c r="I26" s="84"/>
      <c r="J26" s="84"/>
      <c r="K26" s="84"/>
      <c r="L26" s="85">
        <f>L25</f>
        <v>32.53</v>
      </c>
      <c r="M26" s="86" t="s">
        <v>36</v>
      </c>
    </row>
    <row r="27" spans="1:14" x14ac:dyDescent="0.2">
      <c r="A27" s="76"/>
      <c r="B27" s="94"/>
      <c r="C27" s="91"/>
      <c r="D27" s="91"/>
      <c r="E27" s="91"/>
      <c r="F27" s="91"/>
      <c r="G27" s="91"/>
      <c r="H27" s="91"/>
      <c r="I27" s="91"/>
      <c r="J27" s="91"/>
      <c r="K27" s="91"/>
      <c r="L27" s="320"/>
      <c r="M27" s="88"/>
    </row>
    <row r="28" spans="1:14" x14ac:dyDescent="0.2">
      <c r="A28" s="77" t="s">
        <v>33</v>
      </c>
      <c r="B28" s="425" t="str">
        <f>'Planilha Orçamentária'!D14</f>
        <v xml:space="preserve">Regularização e compactação de subleito de solo predominantemente argiloso. </v>
      </c>
      <c r="C28" s="426"/>
      <c r="D28" s="426"/>
      <c r="E28" s="426"/>
      <c r="F28" s="426"/>
      <c r="G28" s="426"/>
      <c r="H28" s="426"/>
      <c r="I28" s="426"/>
      <c r="J28" s="426"/>
      <c r="K28" s="426"/>
      <c r="L28" s="427"/>
      <c r="M28" s="78"/>
    </row>
    <row r="29" spans="1:14" x14ac:dyDescent="0.2">
      <c r="A29" s="90"/>
      <c r="B29" s="76" t="s">
        <v>215</v>
      </c>
      <c r="C29" s="80"/>
      <c r="D29" s="80"/>
      <c r="E29" s="80"/>
      <c r="F29" s="80"/>
      <c r="G29" s="80">
        <v>739.38</v>
      </c>
      <c r="H29" s="80"/>
      <c r="I29" s="80"/>
      <c r="J29" s="80"/>
      <c r="K29" s="80"/>
      <c r="L29" s="81">
        <f>G29</f>
        <v>739.38</v>
      </c>
      <c r="M29" s="82"/>
    </row>
    <row r="30" spans="1:14" x14ac:dyDescent="0.2">
      <c r="A30" s="90"/>
      <c r="B30" s="76" t="s">
        <v>495</v>
      </c>
      <c r="C30" s="80"/>
      <c r="D30" s="80"/>
      <c r="E30" s="80"/>
      <c r="F30" s="80"/>
      <c r="G30" s="80">
        <v>299.43</v>
      </c>
      <c r="H30" s="80"/>
      <c r="I30" s="80"/>
      <c r="J30" s="80"/>
      <c r="K30" s="80"/>
      <c r="L30" s="81">
        <f>G30</f>
        <v>299.43</v>
      </c>
      <c r="M30" s="82"/>
    </row>
    <row r="31" spans="1:14" x14ac:dyDescent="0.2">
      <c r="A31" s="79"/>
      <c r="B31" s="83" t="s">
        <v>8</v>
      </c>
      <c r="C31" s="84"/>
      <c r="D31" s="84"/>
      <c r="E31" s="84"/>
      <c r="F31" s="84"/>
      <c r="G31" s="84"/>
      <c r="H31" s="84"/>
      <c r="I31" s="84"/>
      <c r="J31" s="84"/>
      <c r="K31" s="84"/>
      <c r="L31" s="85">
        <f>SUM(L29:L30)</f>
        <v>1038.81</v>
      </c>
      <c r="M31" s="86" t="s">
        <v>18</v>
      </c>
    </row>
    <row r="32" spans="1:14" x14ac:dyDescent="0.2">
      <c r="A32" s="78"/>
      <c r="B32" s="91"/>
      <c r="C32" s="91"/>
      <c r="D32" s="91"/>
      <c r="E32" s="91"/>
      <c r="F32" s="91"/>
      <c r="G32" s="91"/>
      <c r="H32" s="91"/>
      <c r="I32" s="91"/>
      <c r="J32" s="91"/>
      <c r="K32" s="91"/>
      <c r="L32" s="87"/>
      <c r="M32" s="88"/>
    </row>
    <row r="33" spans="1:13" x14ac:dyDescent="0.2">
      <c r="A33" s="89" t="s">
        <v>37</v>
      </c>
      <c r="B33" s="405" t="str">
        <f>'Planilha Orçamentária'!D15</f>
        <v>Retirada de meio-fio de concreto</v>
      </c>
      <c r="C33" s="405"/>
      <c r="D33" s="405"/>
      <c r="E33" s="405"/>
      <c r="F33" s="405"/>
      <c r="G33" s="405"/>
      <c r="H33" s="405"/>
      <c r="I33" s="405"/>
      <c r="J33" s="405"/>
      <c r="K33" s="405"/>
      <c r="L33" s="406"/>
      <c r="M33" s="78"/>
    </row>
    <row r="34" spans="1:13" x14ac:dyDescent="0.2">
      <c r="A34" s="90"/>
      <c r="B34" s="91" t="s">
        <v>217</v>
      </c>
      <c r="C34" s="80"/>
      <c r="D34" s="80">
        <v>49.1</v>
      </c>
      <c r="E34" s="80"/>
      <c r="F34" s="80"/>
      <c r="G34" s="80"/>
      <c r="H34" s="80"/>
      <c r="I34" s="80"/>
      <c r="J34" s="80"/>
      <c r="K34" s="80"/>
      <c r="L34" s="81">
        <f>D34</f>
        <v>49.1</v>
      </c>
      <c r="M34" s="82"/>
    </row>
    <row r="35" spans="1:13" x14ac:dyDescent="0.2">
      <c r="A35" s="90"/>
      <c r="B35" s="91" t="s">
        <v>218</v>
      </c>
      <c r="C35" s="80"/>
      <c r="D35" s="80">
        <v>75.12</v>
      </c>
      <c r="E35" s="80"/>
      <c r="F35" s="80"/>
      <c r="G35" s="80"/>
      <c r="H35" s="80"/>
      <c r="I35" s="80"/>
      <c r="J35" s="80"/>
      <c r="K35" s="80"/>
      <c r="L35" s="81">
        <f>D35</f>
        <v>75.12</v>
      </c>
      <c r="M35" s="82"/>
    </row>
    <row r="36" spans="1:13" x14ac:dyDescent="0.2">
      <c r="A36" s="90"/>
      <c r="B36" s="92" t="s">
        <v>8</v>
      </c>
      <c r="C36" s="84"/>
      <c r="D36" s="84"/>
      <c r="E36" s="84"/>
      <c r="F36" s="84"/>
      <c r="G36" s="84"/>
      <c r="H36" s="84"/>
      <c r="I36" s="84"/>
      <c r="J36" s="84"/>
      <c r="K36" s="84"/>
      <c r="L36" s="85">
        <f>SUM(L34:L35)</f>
        <v>124.22</v>
      </c>
      <c r="M36" s="86" t="s">
        <v>22</v>
      </c>
    </row>
    <row r="37" spans="1:13" x14ac:dyDescent="0.2">
      <c r="A37" s="78"/>
      <c r="B37" s="91"/>
      <c r="C37" s="91"/>
      <c r="D37" s="91"/>
      <c r="E37" s="91"/>
      <c r="F37" s="91"/>
      <c r="G37" s="91"/>
      <c r="H37" s="91"/>
      <c r="I37" s="91"/>
      <c r="J37" s="91"/>
      <c r="K37" s="91"/>
      <c r="L37" s="87"/>
      <c r="M37" s="78"/>
    </row>
    <row r="38" spans="1:13" x14ac:dyDescent="0.2">
      <c r="A38" s="89" t="s">
        <v>38</v>
      </c>
      <c r="B38" s="405" t="str">
        <f>'Planilha Orçamentária'!D16</f>
        <v>Retirada e Recolocação de placa de sinalização de trânsito (lombada)</v>
      </c>
      <c r="C38" s="405"/>
      <c r="D38" s="405"/>
      <c r="E38" s="405"/>
      <c r="F38" s="405"/>
      <c r="G38" s="405"/>
      <c r="H38" s="405"/>
      <c r="I38" s="405"/>
      <c r="J38" s="405"/>
      <c r="K38" s="405"/>
      <c r="L38" s="406"/>
      <c r="M38" s="78"/>
    </row>
    <row r="39" spans="1:13" x14ac:dyDescent="0.2">
      <c r="A39" s="79"/>
      <c r="B39" s="76" t="s">
        <v>219</v>
      </c>
      <c r="C39" s="80">
        <v>1</v>
      </c>
      <c r="D39" s="80"/>
      <c r="E39" s="80"/>
      <c r="F39" s="80"/>
      <c r="G39" s="80"/>
      <c r="H39" s="80"/>
      <c r="I39" s="80"/>
      <c r="J39" s="80"/>
      <c r="K39" s="80"/>
      <c r="L39" s="81">
        <f>C39</f>
        <v>1</v>
      </c>
      <c r="M39" s="93"/>
    </row>
    <row r="40" spans="1:13" x14ac:dyDescent="0.2">
      <c r="A40" s="79"/>
      <c r="B40" s="83" t="s">
        <v>8</v>
      </c>
      <c r="C40" s="84"/>
      <c r="D40" s="84"/>
      <c r="E40" s="84"/>
      <c r="F40" s="84"/>
      <c r="G40" s="84"/>
      <c r="H40" s="84"/>
      <c r="I40" s="84"/>
      <c r="J40" s="84"/>
      <c r="K40" s="84"/>
      <c r="L40" s="85">
        <f>L39</f>
        <v>1</v>
      </c>
      <c r="M40" s="86" t="s">
        <v>32</v>
      </c>
    </row>
    <row r="41" spans="1:13" x14ac:dyDescent="0.2">
      <c r="A41" s="76"/>
      <c r="B41" s="94"/>
      <c r="C41" s="91"/>
      <c r="D41" s="91"/>
      <c r="E41" s="91"/>
      <c r="F41" s="91"/>
      <c r="G41" s="91"/>
      <c r="H41" s="91"/>
      <c r="I41" s="91"/>
      <c r="J41" s="91"/>
      <c r="K41" s="91"/>
      <c r="L41" s="320"/>
      <c r="M41" s="88"/>
    </row>
    <row r="42" spans="1:13" x14ac:dyDescent="0.2">
      <c r="A42" s="77" t="s">
        <v>41</v>
      </c>
      <c r="B42" s="425" t="str">
        <f>'Planilha Orçamentária'!D17</f>
        <v>Transplante de árvores</v>
      </c>
      <c r="C42" s="426"/>
      <c r="D42" s="426"/>
      <c r="E42" s="426"/>
      <c r="F42" s="426"/>
      <c r="G42" s="426"/>
      <c r="H42" s="426"/>
      <c r="I42" s="426"/>
      <c r="J42" s="426"/>
      <c r="K42" s="426"/>
      <c r="L42" s="427"/>
      <c r="M42" s="78"/>
    </row>
    <row r="43" spans="1:13" x14ac:dyDescent="0.2">
      <c r="A43" s="79"/>
      <c r="B43" s="76" t="s">
        <v>220</v>
      </c>
      <c r="C43" s="80">
        <v>4</v>
      </c>
      <c r="D43" s="80"/>
      <c r="E43" s="80"/>
      <c r="F43" s="80"/>
      <c r="G43" s="80"/>
      <c r="H43" s="80"/>
      <c r="I43" s="80"/>
      <c r="J43" s="80"/>
      <c r="K43" s="80"/>
      <c r="L43" s="81">
        <f>C43</f>
        <v>4</v>
      </c>
      <c r="M43" s="82"/>
    </row>
    <row r="44" spans="1:13" x14ac:dyDescent="0.2">
      <c r="A44" s="79"/>
      <c r="B44" s="83" t="s">
        <v>8</v>
      </c>
      <c r="C44" s="84"/>
      <c r="D44" s="84"/>
      <c r="E44" s="84"/>
      <c r="F44" s="84"/>
      <c r="G44" s="84"/>
      <c r="H44" s="84"/>
      <c r="I44" s="84"/>
      <c r="J44" s="84"/>
      <c r="K44" s="84"/>
      <c r="L44" s="85">
        <f>SUM(L43:L43)</f>
        <v>4</v>
      </c>
      <c r="M44" s="86" t="s">
        <v>32</v>
      </c>
    </row>
    <row r="45" spans="1:13" x14ac:dyDescent="0.2">
      <c r="A45" s="78"/>
      <c r="B45" s="91"/>
      <c r="C45" s="91"/>
      <c r="D45" s="91"/>
      <c r="E45" s="91"/>
      <c r="F45" s="91"/>
      <c r="G45" s="91"/>
      <c r="H45" s="91"/>
      <c r="I45" s="91"/>
      <c r="J45" s="91"/>
      <c r="K45" s="91"/>
      <c r="L45" s="87"/>
      <c r="M45" s="88"/>
    </row>
    <row r="46" spans="1:13" x14ac:dyDescent="0.2">
      <c r="A46" s="89" t="s">
        <v>42</v>
      </c>
      <c r="B46" s="405" t="str">
        <f>'Planilha Orçamentária'!D18</f>
        <v>Corte e destocamento de árvores com diâmetro de até 15 cm</v>
      </c>
      <c r="C46" s="405"/>
      <c r="D46" s="405"/>
      <c r="E46" s="405"/>
      <c r="F46" s="405"/>
      <c r="G46" s="405"/>
      <c r="H46" s="405"/>
      <c r="I46" s="405"/>
      <c r="J46" s="405"/>
      <c r="K46" s="405"/>
      <c r="L46" s="406"/>
      <c r="M46" s="78"/>
    </row>
    <row r="47" spans="1:13" x14ac:dyDescent="0.2">
      <c r="A47" s="90"/>
      <c r="B47" s="91" t="s">
        <v>221</v>
      </c>
      <c r="C47" s="80">
        <v>1</v>
      </c>
      <c r="D47" s="80"/>
      <c r="E47" s="80"/>
      <c r="F47" s="80"/>
      <c r="G47" s="80"/>
      <c r="H47" s="80"/>
      <c r="I47" s="80"/>
      <c r="J47" s="80"/>
      <c r="K47" s="80"/>
      <c r="L47" s="81">
        <f>C47</f>
        <v>1</v>
      </c>
      <c r="M47" s="82"/>
    </row>
    <row r="48" spans="1:13" x14ac:dyDescent="0.2">
      <c r="A48" s="90"/>
      <c r="B48" s="92" t="s">
        <v>8</v>
      </c>
      <c r="C48" s="84"/>
      <c r="D48" s="84"/>
      <c r="E48" s="84"/>
      <c r="F48" s="84"/>
      <c r="G48" s="84"/>
      <c r="H48" s="84"/>
      <c r="I48" s="84"/>
      <c r="J48" s="84"/>
      <c r="K48" s="84"/>
      <c r="L48" s="85">
        <f>SUM(L47:L47)</f>
        <v>1</v>
      </c>
      <c r="M48" s="86" t="s">
        <v>32</v>
      </c>
    </row>
    <row r="49" spans="1:14" x14ac:dyDescent="0.2">
      <c r="A49" s="78"/>
      <c r="B49" s="91"/>
      <c r="C49" s="91"/>
      <c r="D49" s="91"/>
      <c r="E49" s="91"/>
      <c r="F49" s="91"/>
      <c r="G49" s="91"/>
      <c r="H49" s="91"/>
      <c r="I49" s="91"/>
      <c r="J49" s="91"/>
      <c r="K49" s="91"/>
      <c r="L49" s="87"/>
      <c r="M49" s="78"/>
    </row>
    <row r="50" spans="1:14" x14ac:dyDescent="0.2">
      <c r="A50" s="89" t="s">
        <v>44</v>
      </c>
      <c r="B50" s="405" t="str">
        <f>'Planilha Orçamentária'!D19</f>
        <v>Demolição de piso cimentado, inclusive lastro de concreto</v>
      </c>
      <c r="C50" s="405"/>
      <c r="D50" s="405"/>
      <c r="E50" s="405"/>
      <c r="F50" s="405"/>
      <c r="G50" s="405"/>
      <c r="H50" s="405"/>
      <c r="I50" s="405"/>
      <c r="J50" s="405"/>
      <c r="K50" s="405"/>
      <c r="L50" s="406"/>
      <c r="M50" s="78"/>
    </row>
    <row r="51" spans="1:14" x14ac:dyDescent="0.2">
      <c r="A51" s="79"/>
      <c r="B51" s="76" t="s">
        <v>222</v>
      </c>
      <c r="C51" s="80"/>
      <c r="D51" s="80">
        <v>21.32</v>
      </c>
      <c r="E51" s="80">
        <v>0.9</v>
      </c>
      <c r="F51" s="80"/>
      <c r="G51" s="80">
        <f>TRUNC(E51*D51,2)</f>
        <v>19.18</v>
      </c>
      <c r="H51" s="80"/>
      <c r="I51" s="80"/>
      <c r="J51" s="80"/>
      <c r="K51" s="80"/>
      <c r="L51" s="81">
        <f>G51</f>
        <v>19.18</v>
      </c>
      <c r="M51" s="93"/>
    </row>
    <row r="52" spans="1:14" x14ac:dyDescent="0.2">
      <c r="A52" s="79"/>
      <c r="B52" s="83" t="s">
        <v>8</v>
      </c>
      <c r="C52" s="84"/>
      <c r="D52" s="84"/>
      <c r="E52" s="84"/>
      <c r="F52" s="84"/>
      <c r="G52" s="84"/>
      <c r="H52" s="84"/>
      <c r="I52" s="84"/>
      <c r="J52" s="84"/>
      <c r="K52" s="84"/>
      <c r="L52" s="85">
        <f>L51</f>
        <v>19.18</v>
      </c>
      <c r="M52" s="86" t="s">
        <v>18</v>
      </c>
    </row>
    <row r="53" spans="1:14" x14ac:dyDescent="0.2">
      <c r="A53" s="76"/>
      <c r="B53" s="94"/>
      <c r="C53" s="91"/>
      <c r="D53" s="91"/>
      <c r="E53" s="91"/>
      <c r="F53" s="91"/>
      <c r="G53" s="91"/>
      <c r="H53" s="91"/>
      <c r="I53" s="91"/>
      <c r="J53" s="91"/>
      <c r="K53" s="91"/>
      <c r="L53" s="97"/>
      <c r="M53" s="75"/>
      <c r="N53" s="91"/>
    </row>
    <row r="54" spans="1:14" x14ac:dyDescent="0.2">
      <c r="A54" s="74" t="s">
        <v>50</v>
      </c>
      <c r="B54" s="399" t="str">
        <f>'Planilha Orçamentária'!D22</f>
        <v>ESTRUTURAL</v>
      </c>
      <c r="C54" s="400"/>
      <c r="D54" s="400"/>
      <c r="E54" s="400"/>
      <c r="F54" s="400"/>
      <c r="G54" s="400"/>
      <c r="H54" s="400"/>
      <c r="I54" s="400"/>
      <c r="J54" s="400"/>
      <c r="K54" s="400"/>
      <c r="L54" s="401"/>
      <c r="M54" s="75"/>
    </row>
    <row r="55" spans="1:14" x14ac:dyDescent="0.2">
      <c r="A55" s="74" t="s">
        <v>52</v>
      </c>
      <c r="B55" s="314" t="str">
        <f>'Planilha Orçamentária'!D23</f>
        <v>Blocos de Fundação</v>
      </c>
      <c r="C55" s="315"/>
      <c r="D55" s="315"/>
      <c r="E55" s="315"/>
      <c r="F55" s="315"/>
      <c r="G55" s="315"/>
      <c r="H55" s="315"/>
      <c r="I55" s="315"/>
      <c r="J55" s="315"/>
      <c r="K55" s="315"/>
      <c r="L55" s="98"/>
      <c r="M55" s="75"/>
    </row>
    <row r="56" spans="1:14" x14ac:dyDescent="0.2">
      <c r="A56" s="77" t="s">
        <v>54</v>
      </c>
      <c r="B56" s="425" t="str">
        <f>'Planilha Orçamentária'!D24</f>
        <v>Escavação manual em material de 1a. categoria, até 1.50 m de profundidade</v>
      </c>
      <c r="C56" s="426"/>
      <c r="D56" s="426"/>
      <c r="E56" s="426"/>
      <c r="F56" s="426"/>
      <c r="G56" s="426"/>
      <c r="H56" s="426"/>
      <c r="I56" s="426"/>
      <c r="J56" s="426"/>
      <c r="K56" s="426"/>
      <c r="L56" s="427"/>
      <c r="M56" s="78"/>
    </row>
    <row r="57" spans="1:14" x14ac:dyDescent="0.2">
      <c r="A57" s="79"/>
      <c r="B57" s="76" t="s">
        <v>501</v>
      </c>
      <c r="C57" s="80">
        <v>6</v>
      </c>
      <c r="D57" s="80">
        <v>1.25</v>
      </c>
      <c r="E57" s="80">
        <v>1</v>
      </c>
      <c r="F57" s="80">
        <v>1.5</v>
      </c>
      <c r="G57" s="80"/>
      <c r="H57" s="80">
        <f>TRUNC(D57*E57*F57,2)</f>
        <v>1.87</v>
      </c>
      <c r="I57" s="80"/>
      <c r="J57" s="80"/>
      <c r="K57" s="80"/>
      <c r="L57" s="81">
        <f>TRUNC(H57*C57,2)</f>
        <v>11.22</v>
      </c>
      <c r="M57" s="82"/>
    </row>
    <row r="58" spans="1:14" x14ac:dyDescent="0.2">
      <c r="A58" s="79"/>
      <c r="B58" s="76" t="s">
        <v>503</v>
      </c>
      <c r="C58" s="80">
        <v>7</v>
      </c>
      <c r="D58" s="80">
        <v>1.25</v>
      </c>
      <c r="E58" s="80">
        <v>1</v>
      </c>
      <c r="F58" s="80">
        <v>1.5</v>
      </c>
      <c r="G58" s="80"/>
      <c r="H58" s="80">
        <f>TRUNC(D58*E58*F58,2)</f>
        <v>1.87</v>
      </c>
      <c r="I58" s="80"/>
      <c r="J58" s="80"/>
      <c r="K58" s="80"/>
      <c r="L58" s="81">
        <f>TRUNC(H58*C58,2)</f>
        <v>13.09</v>
      </c>
      <c r="M58" s="82"/>
    </row>
    <row r="59" spans="1:14" x14ac:dyDescent="0.2">
      <c r="A59" s="79"/>
      <c r="B59" s="76" t="s">
        <v>502</v>
      </c>
      <c r="C59" s="80">
        <v>8</v>
      </c>
      <c r="D59" s="80">
        <v>1</v>
      </c>
      <c r="E59" s="80">
        <v>1</v>
      </c>
      <c r="F59" s="80">
        <v>1.5</v>
      </c>
      <c r="G59" s="80"/>
      <c r="H59" s="80">
        <f>TRUNC(D59*E59*F59,2)</f>
        <v>1.5</v>
      </c>
      <c r="I59" s="80"/>
      <c r="J59" s="80"/>
      <c r="K59" s="80"/>
      <c r="L59" s="81">
        <f t="shared" ref="L59" si="0">TRUNC(H59*C59,2)</f>
        <v>12</v>
      </c>
      <c r="M59" s="82"/>
    </row>
    <row r="60" spans="1:14" x14ac:dyDescent="0.2">
      <c r="A60" s="79"/>
      <c r="B60" s="83" t="s">
        <v>8</v>
      </c>
      <c r="C60" s="84"/>
      <c r="D60" s="84"/>
      <c r="E60" s="84"/>
      <c r="F60" s="84"/>
      <c r="G60" s="84"/>
      <c r="H60" s="84"/>
      <c r="I60" s="84"/>
      <c r="J60" s="84"/>
      <c r="K60" s="84"/>
      <c r="L60" s="85">
        <f>SUM(L57:L59)</f>
        <v>36.31</v>
      </c>
      <c r="M60" s="86" t="s">
        <v>36</v>
      </c>
    </row>
    <row r="61" spans="1:14" x14ac:dyDescent="0.2">
      <c r="A61" s="78"/>
      <c r="B61" s="91"/>
      <c r="C61" s="91"/>
      <c r="D61" s="91"/>
      <c r="E61" s="91"/>
      <c r="F61" s="91"/>
      <c r="G61" s="91"/>
      <c r="H61" s="91"/>
      <c r="I61" s="91"/>
      <c r="J61" s="91"/>
      <c r="K61" s="91"/>
      <c r="L61" s="87"/>
      <c r="M61" s="88"/>
    </row>
    <row r="62" spans="1:14" x14ac:dyDescent="0.2">
      <c r="A62" s="89" t="s">
        <v>57</v>
      </c>
      <c r="B62" s="405" t="str">
        <f>'Planilha Orçamentária'!D25</f>
        <v xml:space="preserve">Lastro de concreto magro, aplicado em bloco de coroamento ou sapatas, espessura de 5 cm. </v>
      </c>
      <c r="C62" s="405"/>
      <c r="D62" s="405"/>
      <c r="E62" s="405"/>
      <c r="F62" s="405"/>
      <c r="G62" s="405"/>
      <c r="H62" s="405"/>
      <c r="I62" s="405"/>
      <c r="J62" s="405"/>
      <c r="K62" s="405"/>
      <c r="L62" s="406"/>
      <c r="M62" s="78"/>
    </row>
    <row r="63" spans="1:14" x14ac:dyDescent="0.2">
      <c r="A63" s="79"/>
      <c r="B63" s="76" t="s">
        <v>501</v>
      </c>
      <c r="C63" s="80">
        <v>6</v>
      </c>
      <c r="D63" s="80">
        <v>1.25</v>
      </c>
      <c r="E63" s="80">
        <v>1</v>
      </c>
      <c r="F63" s="80"/>
      <c r="G63" s="80">
        <f>TRUNC(D63*E63,2)</f>
        <v>1.25</v>
      </c>
      <c r="H63" s="80"/>
      <c r="I63" s="80"/>
      <c r="J63" s="80"/>
      <c r="K63" s="80"/>
      <c r="L63" s="81">
        <f>TRUNC(G63*C63,2)</f>
        <v>7.5</v>
      </c>
      <c r="M63" s="82"/>
    </row>
    <row r="64" spans="1:14" x14ac:dyDescent="0.2">
      <c r="A64" s="79"/>
      <c r="B64" s="76" t="s">
        <v>503</v>
      </c>
      <c r="C64" s="80">
        <v>7</v>
      </c>
      <c r="D64" s="80">
        <v>1.25</v>
      </c>
      <c r="E64" s="80">
        <v>1</v>
      </c>
      <c r="F64" s="80"/>
      <c r="G64" s="80">
        <f t="shared" ref="G64:G65" si="1">TRUNC(D64*E64,2)</f>
        <v>1.25</v>
      </c>
      <c r="H64" s="80"/>
      <c r="I64" s="80"/>
      <c r="J64" s="80"/>
      <c r="K64" s="80"/>
      <c r="L64" s="81">
        <f t="shared" ref="L64:L65" si="2">TRUNC(G64*C64,2)</f>
        <v>8.75</v>
      </c>
      <c r="M64" s="82"/>
    </row>
    <row r="65" spans="1:16" x14ac:dyDescent="0.2">
      <c r="A65" s="79"/>
      <c r="B65" s="76" t="s">
        <v>502</v>
      </c>
      <c r="C65" s="80">
        <v>8</v>
      </c>
      <c r="D65" s="80">
        <v>1</v>
      </c>
      <c r="E65" s="80">
        <v>1</v>
      </c>
      <c r="F65" s="80"/>
      <c r="G65" s="80">
        <f t="shared" si="1"/>
        <v>1</v>
      </c>
      <c r="H65" s="80"/>
      <c r="I65" s="80"/>
      <c r="J65" s="80"/>
      <c r="K65" s="80"/>
      <c r="L65" s="81">
        <f t="shared" si="2"/>
        <v>8</v>
      </c>
      <c r="M65" s="82"/>
    </row>
    <row r="66" spans="1:16" x14ac:dyDescent="0.2">
      <c r="A66" s="90"/>
      <c r="B66" s="92" t="s">
        <v>8</v>
      </c>
      <c r="C66" s="84"/>
      <c r="D66" s="84"/>
      <c r="E66" s="84"/>
      <c r="F66" s="84"/>
      <c r="G66" s="84"/>
      <c r="H66" s="84"/>
      <c r="I66" s="84"/>
      <c r="J66" s="84"/>
      <c r="K66" s="84"/>
      <c r="L66" s="85">
        <f>SUM(L63:L65)</f>
        <v>24.25</v>
      </c>
      <c r="M66" s="86" t="s">
        <v>18</v>
      </c>
    </row>
    <row r="67" spans="1:16" x14ac:dyDescent="0.2">
      <c r="A67" s="78"/>
      <c r="B67" s="91"/>
      <c r="C67" s="91"/>
      <c r="D67" s="91"/>
      <c r="E67" s="91"/>
      <c r="F67" s="91"/>
      <c r="G67" s="91"/>
      <c r="H67" s="91"/>
      <c r="I67" s="91"/>
      <c r="J67" s="91"/>
      <c r="K67" s="91"/>
      <c r="L67" s="87"/>
      <c r="M67" s="78"/>
    </row>
    <row r="68" spans="1:16" x14ac:dyDescent="0.2">
      <c r="A68" s="89" t="s">
        <v>59</v>
      </c>
      <c r="B68" s="405" t="str">
        <f>'Planilha Orçamentária'!D26</f>
        <v>Fornecimento, dobragem e colocação em fôrma, de armadura CA-50 A média, diâmetro de 6.3 a 10.0 mm</v>
      </c>
      <c r="C68" s="405"/>
      <c r="D68" s="405"/>
      <c r="E68" s="405"/>
      <c r="F68" s="405"/>
      <c r="G68" s="405"/>
      <c r="H68" s="405"/>
      <c r="I68" s="405"/>
      <c r="J68" s="405"/>
      <c r="K68" s="405"/>
      <c r="L68" s="406"/>
      <c r="M68" s="78"/>
    </row>
    <row r="69" spans="1:16" x14ac:dyDescent="0.2">
      <c r="A69" s="79"/>
      <c r="B69" s="76" t="s">
        <v>504</v>
      </c>
      <c r="C69" s="80">
        <v>13</v>
      </c>
      <c r="D69" s="80">
        <v>12.25</v>
      </c>
      <c r="E69" s="80"/>
      <c r="F69" s="80"/>
      <c r="G69" s="80"/>
      <c r="H69" s="80"/>
      <c r="I69" s="101">
        <v>0.39500000000000002</v>
      </c>
      <c r="J69" s="80">
        <f>I69*D69</f>
        <v>4.8387500000000001</v>
      </c>
      <c r="K69" s="80"/>
      <c r="L69" s="81">
        <f>TRUNC(J69*C69,2)</f>
        <v>62.9</v>
      </c>
      <c r="M69" s="93"/>
    </row>
    <row r="70" spans="1:16" x14ac:dyDescent="0.2">
      <c r="A70" s="79"/>
      <c r="B70" s="76" t="s">
        <v>505</v>
      </c>
      <c r="C70" s="80">
        <v>8</v>
      </c>
      <c r="D70" s="80">
        <v>8.8000000000000007</v>
      </c>
      <c r="E70" s="80"/>
      <c r="F70" s="80"/>
      <c r="G70" s="80"/>
      <c r="H70" s="80"/>
      <c r="I70" s="101">
        <v>0.39500000000000002</v>
      </c>
      <c r="J70" s="80">
        <f>I70*D70</f>
        <v>3.4760000000000004</v>
      </c>
      <c r="K70" s="80"/>
      <c r="L70" s="81">
        <f>TRUNC(J70*C70,2)</f>
        <v>27.8</v>
      </c>
      <c r="M70" s="93"/>
    </row>
    <row r="71" spans="1:16" x14ac:dyDescent="0.2">
      <c r="A71" s="79"/>
      <c r="B71" s="83" t="s">
        <v>8</v>
      </c>
      <c r="C71" s="84"/>
      <c r="D71" s="84"/>
      <c r="E71" s="84"/>
      <c r="F71" s="84"/>
      <c r="G71" s="84"/>
      <c r="H71" s="84"/>
      <c r="I71" s="84"/>
      <c r="J71" s="84"/>
      <c r="K71" s="84"/>
      <c r="L71" s="85">
        <f>SUM(L69:L70)</f>
        <v>90.7</v>
      </c>
      <c r="M71" s="86" t="s">
        <v>62</v>
      </c>
    </row>
    <row r="72" spans="1:16" x14ac:dyDescent="0.2">
      <c r="A72" s="76"/>
      <c r="B72" s="94"/>
      <c r="C72" s="91"/>
      <c r="D72" s="91"/>
      <c r="E72" s="91"/>
      <c r="F72" s="91"/>
      <c r="G72" s="91"/>
      <c r="H72" s="91"/>
      <c r="I72" s="91"/>
      <c r="J72" s="91"/>
      <c r="K72" s="91"/>
      <c r="L72" s="320"/>
      <c r="M72" s="88"/>
    </row>
    <row r="73" spans="1:16" x14ac:dyDescent="0.2">
      <c r="A73" s="77" t="s">
        <v>63</v>
      </c>
      <c r="B73" s="425" t="str">
        <f>'Planilha Orçamentária'!D27</f>
        <v>Fornecimento, preparo e aplicação de concreto Fck=25 MPa (brita 1 e 2) - (5% de perdas já incluído no custo)</v>
      </c>
      <c r="C73" s="426"/>
      <c r="D73" s="426"/>
      <c r="E73" s="426"/>
      <c r="F73" s="426"/>
      <c r="G73" s="426"/>
      <c r="H73" s="426"/>
      <c r="I73" s="426"/>
      <c r="J73" s="426"/>
      <c r="K73" s="426"/>
      <c r="L73" s="427"/>
      <c r="M73" s="78"/>
    </row>
    <row r="74" spans="1:16" x14ac:dyDescent="0.2">
      <c r="A74" s="79"/>
      <c r="B74" s="76" t="s">
        <v>504</v>
      </c>
      <c r="C74" s="80">
        <v>13</v>
      </c>
      <c r="D74" s="80">
        <v>1.25</v>
      </c>
      <c r="E74" s="80">
        <v>1</v>
      </c>
      <c r="F74" s="80">
        <v>0.35</v>
      </c>
      <c r="G74" s="80"/>
      <c r="H74" s="80">
        <f>D74*E74*F74</f>
        <v>0.4375</v>
      </c>
      <c r="I74" s="96">
        <v>0.84</v>
      </c>
      <c r="J74" s="80"/>
      <c r="K74" s="80"/>
      <c r="L74" s="81">
        <v>4.78</v>
      </c>
      <c r="M74" s="82"/>
    </row>
    <row r="75" spans="1:16" x14ac:dyDescent="0.2">
      <c r="A75" s="79"/>
      <c r="B75" s="76" t="s">
        <v>505</v>
      </c>
      <c r="C75" s="80">
        <v>8</v>
      </c>
      <c r="D75" s="80">
        <v>1.25</v>
      </c>
      <c r="E75" s="80">
        <v>1</v>
      </c>
      <c r="F75" s="80">
        <v>0.3</v>
      </c>
      <c r="G75" s="80"/>
      <c r="H75" s="80">
        <f>D75*E75*F75</f>
        <v>0.375</v>
      </c>
      <c r="I75" s="96">
        <v>0.64659999999999995</v>
      </c>
      <c r="J75" s="80"/>
      <c r="K75" s="80"/>
      <c r="L75" s="81">
        <v>1.94</v>
      </c>
      <c r="M75" s="82"/>
      <c r="P75" s="102"/>
    </row>
    <row r="76" spans="1:16" x14ac:dyDescent="0.2">
      <c r="A76" s="79"/>
      <c r="B76" s="83" t="s">
        <v>8</v>
      </c>
      <c r="C76" s="84"/>
      <c r="D76" s="84"/>
      <c r="E76" s="84"/>
      <c r="F76" s="84"/>
      <c r="G76" s="84"/>
      <c r="H76" s="84"/>
      <c r="I76" s="84"/>
      <c r="J76" s="84"/>
      <c r="K76" s="84"/>
      <c r="L76" s="85">
        <f>SUM(L74:L75)</f>
        <v>6.7200000000000006</v>
      </c>
      <c r="M76" s="86" t="s">
        <v>36</v>
      </c>
    </row>
    <row r="77" spans="1:16" x14ac:dyDescent="0.2">
      <c r="A77" s="78"/>
      <c r="B77" s="91"/>
      <c r="C77" s="91"/>
      <c r="D77" s="91"/>
      <c r="E77" s="91"/>
      <c r="F77" s="91"/>
      <c r="G77" s="91"/>
      <c r="H77" s="91"/>
      <c r="I77" s="91"/>
      <c r="J77" s="91"/>
      <c r="K77" s="91"/>
      <c r="L77" s="87"/>
      <c r="M77" s="88"/>
    </row>
    <row r="78" spans="1:16" x14ac:dyDescent="0.2">
      <c r="A78" s="89" t="s">
        <v>66</v>
      </c>
      <c r="B78" s="405" t="str">
        <f>'Planilha Orçamentária'!D28</f>
        <v>Reaterro manual apiloado com soquete.</v>
      </c>
      <c r="C78" s="405"/>
      <c r="D78" s="405"/>
      <c r="E78" s="405"/>
      <c r="F78" s="405"/>
      <c r="G78" s="405"/>
      <c r="H78" s="405"/>
      <c r="I78" s="405"/>
      <c r="J78" s="405"/>
      <c r="K78" s="405"/>
      <c r="L78" s="406"/>
      <c r="M78" s="78"/>
    </row>
    <row r="79" spans="1:16" x14ac:dyDescent="0.2">
      <c r="A79" s="90"/>
      <c r="B79" s="91" t="s">
        <v>506</v>
      </c>
      <c r="C79" s="80"/>
      <c r="D79" s="80"/>
      <c r="E79" s="80"/>
      <c r="F79" s="80"/>
      <c r="G79" s="80"/>
      <c r="H79" s="80">
        <f>L60-L76-L109</f>
        <v>27.403800000000004</v>
      </c>
      <c r="I79" s="80"/>
      <c r="J79" s="80"/>
      <c r="K79" s="80"/>
      <c r="L79" s="81">
        <f>H79</f>
        <v>27.403800000000004</v>
      </c>
      <c r="M79" s="82"/>
    </row>
    <row r="80" spans="1:16" x14ac:dyDescent="0.2">
      <c r="A80" s="90"/>
      <c r="B80" s="92" t="s">
        <v>8</v>
      </c>
      <c r="C80" s="84"/>
      <c r="D80" s="84"/>
      <c r="E80" s="84"/>
      <c r="F80" s="84"/>
      <c r="G80" s="84"/>
      <c r="H80" s="84"/>
      <c r="I80" s="84"/>
      <c r="J80" s="84"/>
      <c r="K80" s="84"/>
      <c r="L80" s="85">
        <f>SUM(L79:L79)</f>
        <v>27.403800000000004</v>
      </c>
      <c r="M80" s="86" t="s">
        <v>36</v>
      </c>
    </row>
    <row r="81" spans="1:13" x14ac:dyDescent="0.2">
      <c r="A81" s="76"/>
      <c r="B81" s="94"/>
      <c r="C81" s="91"/>
      <c r="D81" s="91"/>
      <c r="E81" s="91"/>
      <c r="F81" s="91"/>
      <c r="G81" s="91"/>
      <c r="H81" s="91"/>
      <c r="I81" s="91"/>
      <c r="J81" s="91"/>
      <c r="K81" s="91"/>
      <c r="L81" s="97"/>
      <c r="M81" s="99"/>
    </row>
    <row r="82" spans="1:13" x14ac:dyDescent="0.2">
      <c r="A82" s="74" t="s">
        <v>68</v>
      </c>
      <c r="B82" s="314" t="str">
        <f>'Planilha Orçamentária'!D29</f>
        <v>Pilar/Arranque</v>
      </c>
      <c r="C82" s="315"/>
      <c r="D82" s="315"/>
      <c r="E82" s="315"/>
      <c r="F82" s="315"/>
      <c r="G82" s="315"/>
      <c r="H82" s="315"/>
      <c r="I82" s="315"/>
      <c r="J82" s="315"/>
      <c r="K82" s="315"/>
      <c r="L82" s="98"/>
      <c r="M82" s="75"/>
    </row>
    <row r="83" spans="1:13" x14ac:dyDescent="0.2">
      <c r="A83" s="77" t="s">
        <v>69</v>
      </c>
      <c r="B83" s="425" t="str">
        <f>'Planilha Orçamentária'!D30</f>
        <v>Fôrma de chapa compensada resinada 12mm, levando-se em conta a utilização 3 vezes (incluido o material, corte, montagem, escoramento e desfôrma)</v>
      </c>
      <c r="C83" s="426"/>
      <c r="D83" s="426"/>
      <c r="E83" s="426"/>
      <c r="F83" s="426"/>
      <c r="G83" s="426"/>
      <c r="H83" s="426"/>
      <c r="I83" s="426"/>
      <c r="J83" s="426"/>
      <c r="K83" s="426"/>
      <c r="L83" s="427"/>
      <c r="M83" s="78"/>
    </row>
    <row r="84" spans="1:13" x14ac:dyDescent="0.2">
      <c r="A84" s="79"/>
      <c r="B84" s="76" t="s">
        <v>507</v>
      </c>
      <c r="C84" s="80">
        <v>8</v>
      </c>
      <c r="D84" s="80">
        <v>0.4</v>
      </c>
      <c r="E84" s="80">
        <v>0.18</v>
      </c>
      <c r="F84" s="80">
        <v>1.2</v>
      </c>
      <c r="G84" s="80">
        <f>(D84*F84*2)+(E84*F84*2)</f>
        <v>1.3919999999999999</v>
      </c>
      <c r="H84" s="80"/>
      <c r="I84" s="80"/>
      <c r="J84" s="80"/>
      <c r="K84" s="80"/>
      <c r="L84" s="81">
        <f>TRUNC(G84*C84,2)</f>
        <v>11.13</v>
      </c>
      <c r="M84" s="82"/>
    </row>
    <row r="85" spans="1:13" x14ac:dyDescent="0.2">
      <c r="A85" s="79"/>
      <c r="B85" s="76" t="s">
        <v>508</v>
      </c>
      <c r="C85" s="80">
        <v>13</v>
      </c>
      <c r="D85" s="80">
        <v>0.5</v>
      </c>
      <c r="E85" s="80">
        <v>0.2</v>
      </c>
      <c r="F85" s="80">
        <v>1.1499999999999999</v>
      </c>
      <c r="G85" s="80">
        <f>(D85*F85*2)+(E85*F85*2)</f>
        <v>1.6099999999999999</v>
      </c>
      <c r="H85" s="80"/>
      <c r="I85" s="80"/>
      <c r="J85" s="80"/>
      <c r="K85" s="80"/>
      <c r="L85" s="81">
        <f>TRUNC(G85*C85,2)</f>
        <v>20.93</v>
      </c>
      <c r="M85" s="82"/>
    </row>
    <row r="86" spans="1:13" x14ac:dyDescent="0.2">
      <c r="A86" s="79"/>
      <c r="B86" s="83" t="s">
        <v>8</v>
      </c>
      <c r="C86" s="84"/>
      <c r="D86" s="84"/>
      <c r="E86" s="84"/>
      <c r="F86" s="84"/>
      <c r="G86" s="84"/>
      <c r="H86" s="84"/>
      <c r="I86" s="84"/>
      <c r="J86" s="84"/>
      <c r="K86" s="84"/>
      <c r="L86" s="85">
        <f>SUM(L84:L85)</f>
        <v>32.06</v>
      </c>
      <c r="M86" s="86" t="s">
        <v>18</v>
      </c>
    </row>
    <row r="87" spans="1:13" x14ac:dyDescent="0.2">
      <c r="A87" s="78"/>
      <c r="B87" s="91"/>
      <c r="C87" s="91"/>
      <c r="D87" s="91"/>
      <c r="E87" s="91"/>
      <c r="F87" s="91"/>
      <c r="G87" s="91"/>
      <c r="H87" s="91"/>
      <c r="I87" s="91"/>
      <c r="J87" s="91"/>
      <c r="K87" s="91"/>
      <c r="L87" s="87"/>
      <c r="M87" s="88"/>
    </row>
    <row r="88" spans="1:13" x14ac:dyDescent="0.2">
      <c r="A88" s="89" t="s">
        <v>72</v>
      </c>
      <c r="B88" s="405" t="str">
        <f>'Planilha Orçamentária'!D31</f>
        <v>Fornecimento, dobragem e colocação em fôrma, de armadura CA-50 A média, diâmetro de 6.3 a 10.0 mm</v>
      </c>
      <c r="C88" s="405"/>
      <c r="D88" s="405"/>
      <c r="E88" s="405"/>
      <c r="F88" s="405"/>
      <c r="G88" s="405"/>
      <c r="H88" s="405"/>
      <c r="I88" s="405"/>
      <c r="J88" s="405"/>
      <c r="K88" s="405"/>
      <c r="L88" s="406"/>
      <c r="M88" s="78"/>
    </row>
    <row r="89" spans="1:13" x14ac:dyDescent="0.2">
      <c r="A89" s="89"/>
      <c r="B89" s="312" t="s">
        <v>512</v>
      </c>
      <c r="C89" s="312"/>
      <c r="D89" s="312"/>
      <c r="E89" s="312"/>
      <c r="F89" s="312"/>
      <c r="G89" s="312"/>
      <c r="H89" s="312"/>
      <c r="I89" s="312"/>
      <c r="J89" s="312"/>
      <c r="K89" s="312"/>
      <c r="L89" s="313"/>
      <c r="M89" s="78"/>
    </row>
    <row r="90" spans="1:13" x14ac:dyDescent="0.2">
      <c r="A90" s="90"/>
      <c r="B90" s="91" t="s">
        <v>514</v>
      </c>
      <c r="C90" s="80">
        <v>8</v>
      </c>
      <c r="D90" s="80">
        <f>4*2.15</f>
        <v>8.6</v>
      </c>
      <c r="E90" s="80"/>
      <c r="F90" s="80"/>
      <c r="G90" s="80"/>
      <c r="H90" s="80"/>
      <c r="I90" s="101">
        <v>0.61699999999999999</v>
      </c>
      <c r="J90" s="80">
        <f>I90*D90</f>
        <v>5.3061999999999996</v>
      </c>
      <c r="K90" s="80"/>
      <c r="L90" s="81">
        <f>J90*C90</f>
        <v>42.449599999999997</v>
      </c>
      <c r="M90" s="82"/>
    </row>
    <row r="91" spans="1:13" x14ac:dyDescent="0.2">
      <c r="A91" s="90"/>
      <c r="B91" s="91" t="s">
        <v>515</v>
      </c>
      <c r="C91" s="80">
        <v>8</v>
      </c>
      <c r="D91" s="80">
        <f>8*1.04</f>
        <v>8.32</v>
      </c>
      <c r="E91" s="80"/>
      <c r="F91" s="80"/>
      <c r="G91" s="80"/>
      <c r="H91" s="80"/>
      <c r="I91" s="101">
        <v>0.245</v>
      </c>
      <c r="J91" s="80">
        <f>I91*D91</f>
        <v>2.0384000000000002</v>
      </c>
      <c r="K91" s="80"/>
      <c r="L91" s="81">
        <f t="shared" ref="L91:L103" si="3">J91*C91</f>
        <v>16.307200000000002</v>
      </c>
      <c r="M91" s="82"/>
    </row>
    <row r="92" spans="1:13" ht="7.5" customHeight="1" x14ac:dyDescent="0.2">
      <c r="A92" s="90"/>
      <c r="B92" s="91"/>
      <c r="C92" s="80"/>
      <c r="D92" s="80"/>
      <c r="E92" s="80"/>
      <c r="F92" s="80"/>
      <c r="G92" s="80"/>
      <c r="H92" s="80"/>
      <c r="I92" s="101"/>
      <c r="J92" s="80"/>
      <c r="K92" s="80"/>
      <c r="L92" s="81"/>
      <c r="M92" s="82"/>
    </row>
    <row r="93" spans="1:13" s="114" customFormat="1" x14ac:dyDescent="0.2">
      <c r="A93" s="115"/>
      <c r="B93" s="118" t="s">
        <v>511</v>
      </c>
      <c r="C93" s="110"/>
      <c r="D93" s="110"/>
      <c r="E93" s="110"/>
      <c r="F93" s="110"/>
      <c r="G93" s="110"/>
      <c r="H93" s="110"/>
      <c r="I93" s="111"/>
      <c r="J93" s="110"/>
      <c r="K93" s="110"/>
      <c r="L93" s="112"/>
      <c r="M93" s="113"/>
    </row>
    <row r="94" spans="1:13" s="114" customFormat="1" x14ac:dyDescent="0.2">
      <c r="A94" s="115"/>
      <c r="B94" s="116" t="s">
        <v>516</v>
      </c>
      <c r="C94" s="110">
        <v>8</v>
      </c>
      <c r="D94" s="110">
        <f>4*1.47</f>
        <v>5.88</v>
      </c>
      <c r="E94" s="110"/>
      <c r="F94" s="110"/>
      <c r="G94" s="110"/>
      <c r="H94" s="110"/>
      <c r="I94" s="111">
        <v>0.61699999999999999</v>
      </c>
      <c r="J94" s="110">
        <f>I94*D94</f>
        <v>3.6279599999999999</v>
      </c>
      <c r="K94" s="110"/>
      <c r="L94" s="112">
        <f t="shared" si="3"/>
        <v>29.023679999999999</v>
      </c>
      <c r="M94" s="113"/>
    </row>
    <row r="95" spans="1:13" s="114" customFormat="1" x14ac:dyDescent="0.2">
      <c r="A95" s="115"/>
      <c r="B95" s="116" t="s">
        <v>517</v>
      </c>
      <c r="C95" s="110">
        <v>8</v>
      </c>
      <c r="D95" s="110">
        <f>3*0.88</f>
        <v>2.64</v>
      </c>
      <c r="E95" s="110"/>
      <c r="F95" s="110"/>
      <c r="G95" s="110"/>
      <c r="H95" s="110"/>
      <c r="I95" s="111">
        <v>0.245</v>
      </c>
      <c r="J95" s="110">
        <f t="shared" ref="J95:J103" si="4">I95*D95</f>
        <v>0.64680000000000004</v>
      </c>
      <c r="K95" s="110"/>
      <c r="L95" s="112">
        <f t="shared" si="3"/>
        <v>5.1744000000000003</v>
      </c>
      <c r="M95" s="113"/>
    </row>
    <row r="96" spans="1:13" ht="7.5" customHeight="1" x14ac:dyDescent="0.2">
      <c r="A96" s="90"/>
      <c r="B96" s="91"/>
      <c r="C96" s="80"/>
      <c r="D96" s="80"/>
      <c r="E96" s="80"/>
      <c r="F96" s="80"/>
      <c r="G96" s="80"/>
      <c r="H96" s="80"/>
      <c r="I96" s="101"/>
      <c r="J96" s="80"/>
      <c r="K96" s="80"/>
      <c r="L96" s="81"/>
      <c r="M96" s="82"/>
    </row>
    <row r="97" spans="1:21" x14ac:dyDescent="0.2">
      <c r="A97" s="90"/>
      <c r="B97" s="312" t="s">
        <v>510</v>
      </c>
      <c r="C97" s="80"/>
      <c r="D97" s="80"/>
      <c r="E97" s="80"/>
      <c r="F97" s="80"/>
      <c r="G97" s="80"/>
      <c r="H97" s="80"/>
      <c r="I97" s="101"/>
      <c r="J97" s="80"/>
      <c r="K97" s="80"/>
      <c r="L97" s="81"/>
      <c r="M97" s="82"/>
      <c r="O97" s="95"/>
      <c r="R97" s="95"/>
      <c r="S97" s="95"/>
      <c r="U97" s="95"/>
    </row>
    <row r="98" spans="1:21" x14ac:dyDescent="0.2">
      <c r="A98" s="90"/>
      <c r="B98" s="91" t="s">
        <v>518</v>
      </c>
      <c r="C98" s="80">
        <v>13</v>
      </c>
      <c r="D98" s="80">
        <f>6*2.1</f>
        <v>12.600000000000001</v>
      </c>
      <c r="E98" s="80"/>
      <c r="F98" s="80"/>
      <c r="G98" s="80"/>
      <c r="H98" s="80"/>
      <c r="I98" s="101">
        <v>0.61699999999999999</v>
      </c>
      <c r="J98" s="80">
        <f t="shared" si="4"/>
        <v>7.7742000000000004</v>
      </c>
      <c r="K98" s="80"/>
      <c r="L98" s="81">
        <f t="shared" si="3"/>
        <v>101.06460000000001</v>
      </c>
      <c r="M98" s="82"/>
      <c r="R98" s="95"/>
      <c r="S98" s="95"/>
      <c r="U98" s="95"/>
    </row>
    <row r="99" spans="1:21" x14ac:dyDescent="0.2">
      <c r="A99" s="90"/>
      <c r="B99" s="103" t="s">
        <v>519</v>
      </c>
      <c r="C99" s="80">
        <v>13</v>
      </c>
      <c r="D99" s="80">
        <f>(8*1.28)+(8*0.27)</f>
        <v>12.4</v>
      </c>
      <c r="E99" s="80"/>
      <c r="F99" s="80"/>
      <c r="G99" s="80"/>
      <c r="H99" s="80"/>
      <c r="I99" s="101">
        <v>0.245</v>
      </c>
      <c r="J99" s="80">
        <f t="shared" si="4"/>
        <v>3.0379999999999998</v>
      </c>
      <c r="K99" s="80"/>
      <c r="L99" s="81">
        <f t="shared" si="3"/>
        <v>39.494</v>
      </c>
      <c r="M99" s="82"/>
    </row>
    <row r="100" spans="1:21" ht="7.5" customHeight="1" x14ac:dyDescent="0.2">
      <c r="A100" s="90"/>
      <c r="B100" s="103"/>
      <c r="C100" s="80"/>
      <c r="D100" s="80"/>
      <c r="E100" s="80"/>
      <c r="F100" s="80"/>
      <c r="G100" s="80"/>
      <c r="H100" s="80"/>
      <c r="I100" s="101"/>
      <c r="J100" s="80"/>
      <c r="K100" s="80"/>
      <c r="L100" s="81"/>
      <c r="M100" s="82"/>
    </row>
    <row r="101" spans="1:21" s="114" customFormat="1" ht="25.5" x14ac:dyDescent="0.2">
      <c r="A101" s="115"/>
      <c r="B101" s="119" t="s">
        <v>513</v>
      </c>
      <c r="C101" s="110"/>
      <c r="D101" s="110"/>
      <c r="E101" s="110"/>
      <c r="F101" s="110"/>
      <c r="G101" s="110"/>
      <c r="H101" s="110"/>
      <c r="I101" s="111"/>
      <c r="J101" s="110"/>
      <c r="K101" s="110"/>
      <c r="L101" s="112"/>
      <c r="M101" s="113"/>
    </row>
    <row r="102" spans="1:21" s="114" customFormat="1" x14ac:dyDescent="0.2">
      <c r="A102" s="115"/>
      <c r="B102" s="116" t="s">
        <v>520</v>
      </c>
      <c r="C102" s="110">
        <v>13</v>
      </c>
      <c r="D102" s="110">
        <f>6*1.52</f>
        <v>9.120000000000001</v>
      </c>
      <c r="E102" s="110"/>
      <c r="F102" s="110"/>
      <c r="G102" s="110"/>
      <c r="H102" s="110"/>
      <c r="I102" s="111">
        <v>0.61699999999999999</v>
      </c>
      <c r="J102" s="110">
        <f t="shared" si="4"/>
        <v>5.6270400000000009</v>
      </c>
      <c r="K102" s="110"/>
      <c r="L102" s="112">
        <f t="shared" si="3"/>
        <v>73.151520000000005</v>
      </c>
      <c r="M102" s="113"/>
    </row>
    <row r="103" spans="1:21" s="114" customFormat="1" x14ac:dyDescent="0.2">
      <c r="A103" s="115"/>
      <c r="B103" s="116" t="s">
        <v>521</v>
      </c>
      <c r="C103" s="110">
        <v>13</v>
      </c>
      <c r="D103" s="110">
        <f>1.56*3</f>
        <v>4.68</v>
      </c>
      <c r="E103" s="110"/>
      <c r="F103" s="110"/>
      <c r="G103" s="110"/>
      <c r="H103" s="110"/>
      <c r="I103" s="111">
        <v>0.245</v>
      </c>
      <c r="J103" s="110">
        <f t="shared" si="4"/>
        <v>1.1465999999999998</v>
      </c>
      <c r="K103" s="110"/>
      <c r="L103" s="112">
        <f t="shared" si="3"/>
        <v>14.905799999999997</v>
      </c>
      <c r="M103" s="113"/>
      <c r="R103" s="117"/>
      <c r="S103" s="117"/>
    </row>
    <row r="104" spans="1:21" x14ac:dyDescent="0.2">
      <c r="A104" s="90"/>
      <c r="B104" s="92" t="s">
        <v>8</v>
      </c>
      <c r="C104" s="84"/>
      <c r="D104" s="84"/>
      <c r="E104" s="84"/>
      <c r="F104" s="84"/>
      <c r="G104" s="84"/>
      <c r="H104" s="84"/>
      <c r="I104" s="84"/>
      <c r="J104" s="84"/>
      <c r="K104" s="84"/>
      <c r="L104" s="85">
        <f>SUM(L90:L103)-0.01</f>
        <v>321.56080000000003</v>
      </c>
      <c r="M104" s="86" t="s">
        <v>62</v>
      </c>
      <c r="O104" s="95"/>
    </row>
    <row r="105" spans="1:21" x14ac:dyDescent="0.2">
      <c r="A105" s="78"/>
      <c r="B105" s="91"/>
      <c r="C105" s="91"/>
      <c r="D105" s="91"/>
      <c r="E105" s="91"/>
      <c r="F105" s="91"/>
      <c r="G105" s="91"/>
      <c r="H105" s="91"/>
      <c r="I105" s="91"/>
      <c r="J105" s="91"/>
      <c r="K105" s="91"/>
      <c r="L105" s="87"/>
      <c r="M105" s="78"/>
      <c r="O105" s="95"/>
    </row>
    <row r="106" spans="1:21" x14ac:dyDescent="0.2">
      <c r="A106" s="89" t="s">
        <v>73</v>
      </c>
      <c r="B106" s="405" t="str">
        <f>'Planilha Orçamentária'!D32</f>
        <v>Fornecimento, preparo e aplicação de concreto Fck=25 MPa (brita 1 e 2) - (5% de perdas já incluído no custo)</v>
      </c>
      <c r="C106" s="405"/>
      <c r="D106" s="405"/>
      <c r="E106" s="405"/>
      <c r="F106" s="405"/>
      <c r="G106" s="405"/>
      <c r="H106" s="405"/>
      <c r="I106" s="405"/>
      <c r="J106" s="405"/>
      <c r="K106" s="405"/>
      <c r="L106" s="406"/>
      <c r="M106" s="78"/>
    </row>
    <row r="107" spans="1:21" x14ac:dyDescent="0.2">
      <c r="A107" s="79"/>
      <c r="B107" s="76" t="s">
        <v>507</v>
      </c>
      <c r="C107" s="80">
        <v>8</v>
      </c>
      <c r="D107" s="80">
        <v>0.4</v>
      </c>
      <c r="E107" s="80">
        <v>0.18</v>
      </c>
      <c r="F107" s="80">
        <v>1.2</v>
      </c>
      <c r="G107" s="80"/>
      <c r="H107" s="80">
        <f>D107*E107*F107</f>
        <v>8.6399999999999991E-2</v>
      </c>
      <c r="I107" s="80"/>
      <c r="J107" s="80"/>
      <c r="K107" s="80"/>
      <c r="L107" s="81">
        <f>H107*C107</f>
        <v>0.69119999999999993</v>
      </c>
      <c r="M107" s="93"/>
    </row>
    <row r="108" spans="1:21" x14ac:dyDescent="0.2">
      <c r="A108" s="79"/>
      <c r="B108" s="76" t="s">
        <v>508</v>
      </c>
      <c r="C108" s="80">
        <v>13</v>
      </c>
      <c r="D108" s="80">
        <v>0.5</v>
      </c>
      <c r="E108" s="80">
        <v>0.2</v>
      </c>
      <c r="F108" s="80">
        <v>1.1499999999999999</v>
      </c>
      <c r="G108" s="80"/>
      <c r="H108" s="80">
        <f>D108*E108*F108</f>
        <v>0.11499999999999999</v>
      </c>
      <c r="I108" s="80"/>
      <c r="J108" s="80"/>
      <c r="K108" s="80"/>
      <c r="L108" s="81">
        <f>H108*C108</f>
        <v>1.4949999999999999</v>
      </c>
      <c r="M108" s="93"/>
    </row>
    <row r="109" spans="1:21" x14ac:dyDescent="0.2">
      <c r="A109" s="79"/>
      <c r="B109" s="83" t="s">
        <v>8</v>
      </c>
      <c r="C109" s="84"/>
      <c r="D109" s="84"/>
      <c r="E109" s="84"/>
      <c r="F109" s="84"/>
      <c r="G109" s="84"/>
      <c r="H109" s="84"/>
      <c r="I109" s="84"/>
      <c r="J109" s="84"/>
      <c r="K109" s="84"/>
      <c r="L109" s="85">
        <f>SUM(L107:L108)</f>
        <v>2.1861999999999999</v>
      </c>
      <c r="M109" s="86" t="s">
        <v>36</v>
      </c>
    </row>
    <row r="110" spans="1:21" x14ac:dyDescent="0.2">
      <c r="A110" s="76"/>
      <c r="B110" s="94"/>
      <c r="C110" s="91"/>
      <c r="D110" s="91"/>
      <c r="E110" s="91"/>
      <c r="F110" s="91"/>
      <c r="G110" s="91"/>
      <c r="H110" s="91"/>
      <c r="I110" s="91"/>
      <c r="J110" s="91"/>
      <c r="K110" s="91"/>
      <c r="L110" s="97"/>
      <c r="M110" s="88"/>
    </row>
    <row r="111" spans="1:21" x14ac:dyDescent="0.2">
      <c r="A111" s="74" t="s">
        <v>74</v>
      </c>
      <c r="B111" s="314" t="str">
        <f>'Planilha Orçamentária'!D33</f>
        <v>Vigas Baldrames</v>
      </c>
      <c r="C111" s="315"/>
      <c r="D111" s="315"/>
      <c r="E111" s="315"/>
      <c r="F111" s="315"/>
      <c r="G111" s="315"/>
      <c r="H111" s="315"/>
      <c r="I111" s="315"/>
      <c r="J111" s="315"/>
      <c r="K111" s="315"/>
      <c r="L111" s="98"/>
      <c r="M111" s="75"/>
    </row>
    <row r="112" spans="1:21" x14ac:dyDescent="0.2">
      <c r="A112" s="77" t="s">
        <v>76</v>
      </c>
      <c r="B112" s="425" t="str">
        <f>'Planilha Orçamentária'!D34</f>
        <v>Escavação manual em material de 1a. categoria, até 1.50 m de profundidade</v>
      </c>
      <c r="C112" s="426"/>
      <c r="D112" s="426"/>
      <c r="E112" s="426"/>
      <c r="F112" s="426"/>
      <c r="G112" s="426"/>
      <c r="H112" s="426"/>
      <c r="I112" s="426"/>
      <c r="J112" s="426"/>
      <c r="K112" s="426"/>
      <c r="L112" s="427"/>
      <c r="M112" s="78"/>
    </row>
    <row r="113" spans="1:13" x14ac:dyDescent="0.2">
      <c r="A113" s="79"/>
      <c r="B113" s="76" t="s">
        <v>526</v>
      </c>
      <c r="C113" s="80">
        <v>1</v>
      </c>
      <c r="D113" s="80">
        <v>4.6500000000000004</v>
      </c>
      <c r="E113" s="80">
        <v>0.5</v>
      </c>
      <c r="F113" s="80">
        <v>0.4</v>
      </c>
      <c r="G113" s="80"/>
      <c r="H113" s="80">
        <f>TRUNC(D113*E113*F113,2)</f>
        <v>0.93</v>
      </c>
      <c r="I113" s="80"/>
      <c r="J113" s="80"/>
      <c r="K113" s="80"/>
      <c r="L113" s="81">
        <f>H113</f>
        <v>0.93</v>
      </c>
      <c r="M113" s="82"/>
    </row>
    <row r="114" spans="1:13" s="114" customFormat="1" x14ac:dyDescent="0.2">
      <c r="A114" s="108"/>
      <c r="B114" s="109" t="s">
        <v>527</v>
      </c>
      <c r="C114" s="110">
        <v>1</v>
      </c>
      <c r="D114" s="110">
        <v>4.8</v>
      </c>
      <c r="E114" s="110">
        <v>0.5</v>
      </c>
      <c r="F114" s="110">
        <v>0.4</v>
      </c>
      <c r="G114" s="110"/>
      <c r="H114" s="110">
        <f>TRUNC(D114*E114*F114,2)</f>
        <v>0.96</v>
      </c>
      <c r="I114" s="110"/>
      <c r="J114" s="110"/>
      <c r="K114" s="110"/>
      <c r="L114" s="112">
        <f>H114</f>
        <v>0.96</v>
      </c>
      <c r="M114" s="113"/>
    </row>
    <row r="115" spans="1:13" x14ac:dyDescent="0.2">
      <c r="A115" s="79"/>
      <c r="B115" s="76" t="s">
        <v>528</v>
      </c>
      <c r="C115" s="80">
        <v>1</v>
      </c>
      <c r="D115" s="80">
        <v>4.8</v>
      </c>
      <c r="E115" s="80">
        <v>0.5</v>
      </c>
      <c r="F115" s="80">
        <v>0.4</v>
      </c>
      <c r="G115" s="80"/>
      <c r="H115" s="80">
        <f t="shared" ref="H115:H117" si="5">TRUNC(D115*E115*F115,2)</f>
        <v>0.96</v>
      </c>
      <c r="I115" s="80"/>
      <c r="J115" s="80"/>
      <c r="K115" s="80"/>
      <c r="L115" s="81">
        <f t="shared" ref="L115:L117" si="6">H115</f>
        <v>0.96</v>
      </c>
      <c r="M115" s="82"/>
    </row>
    <row r="116" spans="1:13" s="114" customFormat="1" x14ac:dyDescent="0.2">
      <c r="A116" s="108"/>
      <c r="B116" s="109" t="s">
        <v>529</v>
      </c>
      <c r="C116" s="110">
        <v>1</v>
      </c>
      <c r="D116" s="110">
        <v>4.8</v>
      </c>
      <c r="E116" s="110">
        <v>0.5</v>
      </c>
      <c r="F116" s="110">
        <v>0.4</v>
      </c>
      <c r="G116" s="110"/>
      <c r="H116" s="110">
        <f t="shared" si="5"/>
        <v>0.96</v>
      </c>
      <c r="I116" s="110"/>
      <c r="J116" s="110"/>
      <c r="K116" s="110"/>
      <c r="L116" s="112">
        <f t="shared" si="6"/>
        <v>0.96</v>
      </c>
      <c r="M116" s="113"/>
    </row>
    <row r="117" spans="1:13" x14ac:dyDescent="0.2">
      <c r="A117" s="79"/>
      <c r="B117" s="76" t="s">
        <v>530</v>
      </c>
      <c r="C117" s="80">
        <v>1</v>
      </c>
      <c r="D117" s="80">
        <v>4.8</v>
      </c>
      <c r="E117" s="80">
        <v>0.5</v>
      </c>
      <c r="F117" s="80">
        <v>0.4</v>
      </c>
      <c r="G117" s="80"/>
      <c r="H117" s="80">
        <f t="shared" si="5"/>
        <v>0.96</v>
      </c>
      <c r="I117" s="80"/>
      <c r="J117" s="80"/>
      <c r="K117" s="80"/>
      <c r="L117" s="81">
        <f t="shared" si="6"/>
        <v>0.96</v>
      </c>
      <c r="M117" s="82"/>
    </row>
    <row r="118" spans="1:13" s="114" customFormat="1" x14ac:dyDescent="0.2">
      <c r="A118" s="108"/>
      <c r="B118" s="109" t="s">
        <v>531</v>
      </c>
      <c r="C118" s="110">
        <v>1</v>
      </c>
      <c r="D118" s="110">
        <v>4.0999999999999996</v>
      </c>
      <c r="E118" s="110">
        <v>0.5</v>
      </c>
      <c r="F118" s="110">
        <v>0.4</v>
      </c>
      <c r="G118" s="110"/>
      <c r="H118" s="110">
        <f t="shared" ref="H118:H120" si="7">TRUNC(D118*E118*F118,2)</f>
        <v>0.82</v>
      </c>
      <c r="I118" s="110"/>
      <c r="J118" s="110"/>
      <c r="K118" s="110"/>
      <c r="L118" s="112">
        <f t="shared" ref="L118:L120" si="8">H118</f>
        <v>0.82</v>
      </c>
      <c r="M118" s="113"/>
    </row>
    <row r="119" spans="1:13" x14ac:dyDescent="0.2">
      <c r="A119" s="79"/>
      <c r="B119" s="76" t="s">
        <v>532</v>
      </c>
      <c r="C119" s="80">
        <v>1</v>
      </c>
      <c r="D119" s="80">
        <v>3.93</v>
      </c>
      <c r="E119" s="80">
        <v>0.5</v>
      </c>
      <c r="F119" s="80">
        <v>0.4</v>
      </c>
      <c r="G119" s="80"/>
      <c r="H119" s="80">
        <f t="shared" si="7"/>
        <v>0.78</v>
      </c>
      <c r="I119" s="80"/>
      <c r="J119" s="80"/>
      <c r="K119" s="80"/>
      <c r="L119" s="81">
        <f t="shared" si="8"/>
        <v>0.78</v>
      </c>
      <c r="M119" s="82"/>
    </row>
    <row r="120" spans="1:13" s="114" customFormat="1" x14ac:dyDescent="0.2">
      <c r="A120" s="108"/>
      <c r="B120" s="109" t="s">
        <v>533</v>
      </c>
      <c r="C120" s="110">
        <v>1</v>
      </c>
      <c r="D120" s="110">
        <v>4.8499999999999996</v>
      </c>
      <c r="E120" s="110">
        <v>0.5</v>
      </c>
      <c r="F120" s="110">
        <v>0.4</v>
      </c>
      <c r="G120" s="110"/>
      <c r="H120" s="110">
        <f t="shared" si="7"/>
        <v>0.97</v>
      </c>
      <c r="I120" s="110"/>
      <c r="J120" s="110"/>
      <c r="K120" s="110"/>
      <c r="L120" s="112">
        <f t="shared" si="8"/>
        <v>0.97</v>
      </c>
      <c r="M120" s="113"/>
    </row>
    <row r="121" spans="1:13" x14ac:dyDescent="0.2">
      <c r="A121" s="79"/>
      <c r="B121" s="76" t="s">
        <v>534</v>
      </c>
      <c r="C121" s="80">
        <v>1</v>
      </c>
      <c r="D121" s="80">
        <v>4.8</v>
      </c>
      <c r="E121" s="80">
        <v>0.5</v>
      </c>
      <c r="F121" s="80">
        <v>0.4</v>
      </c>
      <c r="G121" s="80"/>
      <c r="H121" s="80">
        <f t="shared" ref="H121:H132" si="9">TRUNC(D121*E121*F121,2)</f>
        <v>0.96</v>
      </c>
      <c r="I121" s="80"/>
      <c r="J121" s="80"/>
      <c r="K121" s="80"/>
      <c r="L121" s="81">
        <f t="shared" ref="L121:L132" si="10">H121</f>
        <v>0.96</v>
      </c>
      <c r="M121" s="82"/>
    </row>
    <row r="122" spans="1:13" s="114" customFormat="1" x14ac:dyDescent="0.2">
      <c r="A122" s="108"/>
      <c r="B122" s="109" t="s">
        <v>535</v>
      </c>
      <c r="C122" s="110">
        <v>1</v>
      </c>
      <c r="D122" s="110">
        <v>4.8</v>
      </c>
      <c r="E122" s="110">
        <v>0.5</v>
      </c>
      <c r="F122" s="110">
        <v>0.4</v>
      </c>
      <c r="G122" s="110"/>
      <c r="H122" s="110">
        <f t="shared" si="9"/>
        <v>0.96</v>
      </c>
      <c r="I122" s="110"/>
      <c r="J122" s="110"/>
      <c r="K122" s="110"/>
      <c r="L122" s="112">
        <f t="shared" si="10"/>
        <v>0.96</v>
      </c>
      <c r="M122" s="113"/>
    </row>
    <row r="123" spans="1:13" x14ac:dyDescent="0.2">
      <c r="A123" s="79"/>
      <c r="B123" s="76" t="s">
        <v>536</v>
      </c>
      <c r="C123" s="80">
        <v>1</v>
      </c>
      <c r="D123" s="80">
        <v>4.8</v>
      </c>
      <c r="E123" s="80">
        <v>0.5</v>
      </c>
      <c r="F123" s="80">
        <v>0.4</v>
      </c>
      <c r="G123" s="80"/>
      <c r="H123" s="80">
        <f t="shared" si="9"/>
        <v>0.96</v>
      </c>
      <c r="I123" s="80"/>
      <c r="J123" s="80"/>
      <c r="K123" s="80"/>
      <c r="L123" s="81">
        <f t="shared" si="10"/>
        <v>0.96</v>
      </c>
      <c r="M123" s="82"/>
    </row>
    <row r="124" spans="1:13" s="114" customFormat="1" x14ac:dyDescent="0.2">
      <c r="A124" s="108"/>
      <c r="B124" s="109" t="s">
        <v>537</v>
      </c>
      <c r="C124" s="110">
        <v>1</v>
      </c>
      <c r="D124" s="110">
        <v>4.8</v>
      </c>
      <c r="E124" s="110">
        <v>0.5</v>
      </c>
      <c r="F124" s="110">
        <v>0.4</v>
      </c>
      <c r="G124" s="110"/>
      <c r="H124" s="110">
        <f t="shared" si="9"/>
        <v>0.96</v>
      </c>
      <c r="I124" s="110"/>
      <c r="J124" s="110"/>
      <c r="K124" s="110"/>
      <c r="L124" s="112">
        <f t="shared" si="10"/>
        <v>0.96</v>
      </c>
      <c r="M124" s="113"/>
    </row>
    <row r="125" spans="1:13" x14ac:dyDescent="0.2">
      <c r="A125" s="79"/>
      <c r="B125" s="76" t="s">
        <v>538</v>
      </c>
      <c r="C125" s="80">
        <v>1</v>
      </c>
      <c r="D125" s="80">
        <v>4.8</v>
      </c>
      <c r="E125" s="80">
        <v>0.5</v>
      </c>
      <c r="F125" s="80">
        <v>0.4</v>
      </c>
      <c r="G125" s="80"/>
      <c r="H125" s="80">
        <f t="shared" si="9"/>
        <v>0.96</v>
      </c>
      <c r="I125" s="80"/>
      <c r="J125" s="80"/>
      <c r="K125" s="80"/>
      <c r="L125" s="81">
        <f t="shared" si="10"/>
        <v>0.96</v>
      </c>
      <c r="M125" s="82"/>
    </row>
    <row r="126" spans="1:13" s="114" customFormat="1" x14ac:dyDescent="0.2">
      <c r="A126" s="108"/>
      <c r="B126" s="109" t="s">
        <v>539</v>
      </c>
      <c r="C126" s="110">
        <v>1</v>
      </c>
      <c r="D126" s="110">
        <v>4.7</v>
      </c>
      <c r="E126" s="110">
        <v>0.5</v>
      </c>
      <c r="F126" s="110">
        <v>0.4</v>
      </c>
      <c r="G126" s="110"/>
      <c r="H126" s="110">
        <f t="shared" si="9"/>
        <v>0.94</v>
      </c>
      <c r="I126" s="110"/>
      <c r="J126" s="110"/>
      <c r="K126" s="110"/>
      <c r="L126" s="112">
        <f t="shared" si="10"/>
        <v>0.94</v>
      </c>
      <c r="M126" s="113"/>
    </row>
    <row r="127" spans="1:13" x14ac:dyDescent="0.2">
      <c r="A127" s="79"/>
      <c r="B127" s="76" t="s">
        <v>540</v>
      </c>
      <c r="C127" s="80">
        <v>1</v>
      </c>
      <c r="D127" s="80">
        <v>4.5999999999999996</v>
      </c>
      <c r="E127" s="80">
        <v>0.5</v>
      </c>
      <c r="F127" s="80">
        <v>0.4</v>
      </c>
      <c r="G127" s="80"/>
      <c r="H127" s="80">
        <f t="shared" si="9"/>
        <v>0.92</v>
      </c>
      <c r="I127" s="80"/>
      <c r="J127" s="80"/>
      <c r="K127" s="80"/>
      <c r="L127" s="81">
        <f t="shared" si="10"/>
        <v>0.92</v>
      </c>
      <c r="M127" s="82"/>
    </row>
    <row r="128" spans="1:13" s="114" customFormat="1" x14ac:dyDescent="0.2">
      <c r="A128" s="108"/>
      <c r="B128" s="109" t="s">
        <v>541</v>
      </c>
      <c r="C128" s="110">
        <v>1</v>
      </c>
      <c r="D128" s="110">
        <v>4.5999999999999996</v>
      </c>
      <c r="E128" s="110">
        <v>0.5</v>
      </c>
      <c r="F128" s="110">
        <v>0.4</v>
      </c>
      <c r="G128" s="110"/>
      <c r="H128" s="110">
        <f t="shared" si="9"/>
        <v>0.92</v>
      </c>
      <c r="I128" s="110"/>
      <c r="J128" s="110"/>
      <c r="K128" s="110"/>
      <c r="L128" s="112">
        <f t="shared" si="10"/>
        <v>0.92</v>
      </c>
      <c r="M128" s="113"/>
    </row>
    <row r="129" spans="1:13" x14ac:dyDescent="0.2">
      <c r="A129" s="79"/>
      <c r="B129" s="76" t="s">
        <v>542</v>
      </c>
      <c r="C129" s="80">
        <v>1</v>
      </c>
      <c r="D129" s="80">
        <v>4.5999999999999996</v>
      </c>
      <c r="E129" s="80">
        <v>0.5</v>
      </c>
      <c r="F129" s="80">
        <v>0.4</v>
      </c>
      <c r="G129" s="80"/>
      <c r="H129" s="80">
        <f t="shared" si="9"/>
        <v>0.92</v>
      </c>
      <c r="I129" s="80"/>
      <c r="J129" s="80"/>
      <c r="K129" s="80"/>
      <c r="L129" s="81">
        <f t="shared" si="10"/>
        <v>0.92</v>
      </c>
      <c r="M129" s="82"/>
    </row>
    <row r="130" spans="1:13" s="114" customFormat="1" x14ac:dyDescent="0.2">
      <c r="A130" s="108"/>
      <c r="B130" s="109" t="s">
        <v>543</v>
      </c>
      <c r="C130" s="110">
        <v>1</v>
      </c>
      <c r="D130" s="110">
        <v>4.5999999999999996</v>
      </c>
      <c r="E130" s="110">
        <v>0.5</v>
      </c>
      <c r="F130" s="110">
        <v>0.4</v>
      </c>
      <c r="G130" s="110"/>
      <c r="H130" s="110">
        <f t="shared" si="9"/>
        <v>0.92</v>
      </c>
      <c r="I130" s="110"/>
      <c r="J130" s="110"/>
      <c r="K130" s="110"/>
      <c r="L130" s="112">
        <f t="shared" si="10"/>
        <v>0.92</v>
      </c>
      <c r="M130" s="113"/>
    </row>
    <row r="131" spans="1:13" x14ac:dyDescent="0.2">
      <c r="A131" s="79"/>
      <c r="B131" s="76" t="s">
        <v>544</v>
      </c>
      <c r="C131" s="80">
        <v>1</v>
      </c>
      <c r="D131" s="80">
        <v>4.05</v>
      </c>
      <c r="E131" s="80">
        <v>0.5</v>
      </c>
      <c r="F131" s="80">
        <v>0.4</v>
      </c>
      <c r="G131" s="80"/>
      <c r="H131" s="80">
        <f t="shared" si="9"/>
        <v>0.81</v>
      </c>
      <c r="I131" s="80"/>
      <c r="J131" s="80"/>
      <c r="K131" s="80"/>
      <c r="L131" s="81">
        <f t="shared" si="10"/>
        <v>0.81</v>
      </c>
      <c r="M131" s="82"/>
    </row>
    <row r="132" spans="1:13" s="114" customFormat="1" x14ac:dyDescent="0.2">
      <c r="A132" s="108"/>
      <c r="B132" s="109" t="s">
        <v>545</v>
      </c>
      <c r="C132" s="110">
        <v>1</v>
      </c>
      <c r="D132" s="110">
        <v>4.0999999999999996</v>
      </c>
      <c r="E132" s="110">
        <v>0.5</v>
      </c>
      <c r="F132" s="110">
        <v>0.4</v>
      </c>
      <c r="G132" s="110"/>
      <c r="H132" s="110">
        <f t="shared" si="9"/>
        <v>0.82</v>
      </c>
      <c r="I132" s="110"/>
      <c r="J132" s="110"/>
      <c r="K132" s="110"/>
      <c r="L132" s="112">
        <f t="shared" si="10"/>
        <v>0.82</v>
      </c>
      <c r="M132" s="113"/>
    </row>
    <row r="133" spans="1:13" x14ac:dyDescent="0.2">
      <c r="A133" s="79"/>
      <c r="B133" s="83" t="s">
        <v>8</v>
      </c>
      <c r="C133" s="84"/>
      <c r="D133" s="84"/>
      <c r="E133" s="84"/>
      <c r="F133" s="84"/>
      <c r="G133" s="84"/>
      <c r="H133" s="84"/>
      <c r="I133" s="84"/>
      <c r="J133" s="84"/>
      <c r="K133" s="84"/>
      <c r="L133" s="85">
        <f>SUM(L113:L132)</f>
        <v>18.390000000000004</v>
      </c>
      <c r="M133" s="86" t="s">
        <v>36</v>
      </c>
    </row>
    <row r="134" spans="1:13" x14ac:dyDescent="0.2">
      <c r="A134" s="78"/>
      <c r="B134" s="91"/>
      <c r="C134" s="91"/>
      <c r="D134" s="91"/>
      <c r="E134" s="91"/>
      <c r="F134" s="91"/>
      <c r="G134" s="91"/>
      <c r="H134" s="91"/>
      <c r="I134" s="91"/>
      <c r="J134" s="91"/>
      <c r="K134" s="91"/>
      <c r="L134" s="87"/>
      <c r="M134" s="88"/>
    </row>
    <row r="135" spans="1:13" x14ac:dyDescent="0.2">
      <c r="A135" s="89" t="s">
        <v>77</v>
      </c>
      <c r="B135" s="405" t="str">
        <f>'Planilha Orçamentária'!D35</f>
        <v>Fôrma de chapa compensada resinada 12mm, levando-se em conta a utilização 3 vezes (incluido o material, corte, montagem, escoramento e desfôrma)</v>
      </c>
      <c r="C135" s="405"/>
      <c r="D135" s="405"/>
      <c r="E135" s="405"/>
      <c r="F135" s="405"/>
      <c r="G135" s="405"/>
      <c r="H135" s="405"/>
      <c r="I135" s="405"/>
      <c r="J135" s="405"/>
      <c r="K135" s="405"/>
      <c r="L135" s="406"/>
      <c r="M135" s="78"/>
    </row>
    <row r="136" spans="1:13" x14ac:dyDescent="0.2">
      <c r="A136" s="79"/>
      <c r="B136" s="76" t="s">
        <v>526</v>
      </c>
      <c r="C136" s="80">
        <v>1</v>
      </c>
      <c r="D136" s="80">
        <v>4.6500000000000004</v>
      </c>
      <c r="E136" s="80">
        <v>0.2</v>
      </c>
      <c r="F136" s="80">
        <v>0.4</v>
      </c>
      <c r="G136" s="80">
        <f>(F136*2)*D136</f>
        <v>3.7200000000000006</v>
      </c>
      <c r="H136" s="80"/>
      <c r="I136" s="80"/>
      <c r="J136" s="80"/>
      <c r="K136" s="80"/>
      <c r="L136" s="81">
        <f>G136</f>
        <v>3.7200000000000006</v>
      </c>
      <c r="M136" s="82"/>
    </row>
    <row r="137" spans="1:13" s="114" customFormat="1" x14ac:dyDescent="0.2">
      <c r="A137" s="108"/>
      <c r="B137" s="109" t="s">
        <v>527</v>
      </c>
      <c r="C137" s="110">
        <v>1</v>
      </c>
      <c r="D137" s="110">
        <v>4.8</v>
      </c>
      <c r="E137" s="110">
        <v>0.2</v>
      </c>
      <c r="F137" s="110">
        <v>0.4</v>
      </c>
      <c r="G137" s="110">
        <f>(F137*2)*D137</f>
        <v>3.84</v>
      </c>
      <c r="H137" s="110"/>
      <c r="I137" s="110"/>
      <c r="J137" s="110"/>
      <c r="K137" s="110"/>
      <c r="L137" s="112">
        <f t="shared" ref="L137:L155" si="11">G137</f>
        <v>3.84</v>
      </c>
      <c r="M137" s="113"/>
    </row>
    <row r="138" spans="1:13" x14ac:dyDescent="0.2">
      <c r="A138" s="79"/>
      <c r="B138" s="76" t="s">
        <v>528</v>
      </c>
      <c r="C138" s="80">
        <v>1</v>
      </c>
      <c r="D138" s="80">
        <v>4.8</v>
      </c>
      <c r="E138" s="80">
        <v>0.2</v>
      </c>
      <c r="F138" s="80">
        <v>0.4</v>
      </c>
      <c r="G138" s="80">
        <f t="shared" ref="G138:G155" si="12">(F138*2)*D138</f>
        <v>3.84</v>
      </c>
      <c r="H138" s="80"/>
      <c r="I138" s="80"/>
      <c r="J138" s="80"/>
      <c r="K138" s="80"/>
      <c r="L138" s="81">
        <f t="shared" si="11"/>
        <v>3.84</v>
      </c>
      <c r="M138" s="82"/>
    </row>
    <row r="139" spans="1:13" s="114" customFormat="1" x14ac:dyDescent="0.2">
      <c r="A139" s="108"/>
      <c r="B139" s="109" t="s">
        <v>529</v>
      </c>
      <c r="C139" s="110">
        <v>1</v>
      </c>
      <c r="D139" s="110">
        <v>4.8</v>
      </c>
      <c r="E139" s="110">
        <v>0.2</v>
      </c>
      <c r="F139" s="110">
        <v>0.4</v>
      </c>
      <c r="G139" s="110">
        <f t="shared" si="12"/>
        <v>3.84</v>
      </c>
      <c r="H139" s="110"/>
      <c r="I139" s="110"/>
      <c r="J139" s="110"/>
      <c r="K139" s="110"/>
      <c r="L139" s="112">
        <f t="shared" si="11"/>
        <v>3.84</v>
      </c>
      <c r="M139" s="113"/>
    </row>
    <row r="140" spans="1:13" x14ac:dyDescent="0.2">
      <c r="A140" s="79"/>
      <c r="B140" s="76" t="s">
        <v>530</v>
      </c>
      <c r="C140" s="80">
        <v>1</v>
      </c>
      <c r="D140" s="80">
        <v>4.8</v>
      </c>
      <c r="E140" s="80">
        <v>0.2</v>
      </c>
      <c r="F140" s="80">
        <v>0.4</v>
      </c>
      <c r="G140" s="80">
        <f t="shared" si="12"/>
        <v>3.84</v>
      </c>
      <c r="H140" s="80"/>
      <c r="I140" s="80"/>
      <c r="J140" s="80"/>
      <c r="K140" s="80"/>
      <c r="L140" s="81">
        <f t="shared" si="11"/>
        <v>3.84</v>
      </c>
      <c r="M140" s="82"/>
    </row>
    <row r="141" spans="1:13" s="114" customFormat="1" x14ac:dyDescent="0.2">
      <c r="A141" s="108"/>
      <c r="B141" s="109" t="s">
        <v>531</v>
      </c>
      <c r="C141" s="110">
        <v>1</v>
      </c>
      <c r="D141" s="110">
        <v>4.0999999999999996</v>
      </c>
      <c r="E141" s="110">
        <v>0.18</v>
      </c>
      <c r="F141" s="110">
        <v>0.4</v>
      </c>
      <c r="G141" s="110">
        <f t="shared" si="12"/>
        <v>3.28</v>
      </c>
      <c r="H141" s="110"/>
      <c r="I141" s="110"/>
      <c r="J141" s="110"/>
      <c r="K141" s="110"/>
      <c r="L141" s="112">
        <f t="shared" si="11"/>
        <v>3.28</v>
      </c>
      <c r="M141" s="113"/>
    </row>
    <row r="142" spans="1:13" x14ac:dyDescent="0.2">
      <c r="A142" s="79"/>
      <c r="B142" s="76" t="s">
        <v>532</v>
      </c>
      <c r="C142" s="80">
        <v>1</v>
      </c>
      <c r="D142" s="80">
        <v>3.93</v>
      </c>
      <c r="E142" s="80">
        <v>0.18</v>
      </c>
      <c r="F142" s="80">
        <v>0.4</v>
      </c>
      <c r="G142" s="80">
        <f t="shared" si="12"/>
        <v>3.1440000000000001</v>
      </c>
      <c r="H142" s="80"/>
      <c r="I142" s="80"/>
      <c r="J142" s="80"/>
      <c r="K142" s="80"/>
      <c r="L142" s="81">
        <f t="shared" si="11"/>
        <v>3.1440000000000001</v>
      </c>
      <c r="M142" s="82"/>
    </row>
    <row r="143" spans="1:13" s="114" customFormat="1" x14ac:dyDescent="0.2">
      <c r="A143" s="108"/>
      <c r="B143" s="109" t="s">
        <v>533</v>
      </c>
      <c r="C143" s="110">
        <v>1</v>
      </c>
      <c r="D143" s="110">
        <v>4.8499999999999996</v>
      </c>
      <c r="E143" s="110">
        <v>0.2</v>
      </c>
      <c r="F143" s="110">
        <v>0.4</v>
      </c>
      <c r="G143" s="110">
        <f t="shared" si="12"/>
        <v>3.88</v>
      </c>
      <c r="H143" s="110"/>
      <c r="I143" s="110"/>
      <c r="J143" s="110"/>
      <c r="K143" s="110"/>
      <c r="L143" s="112">
        <f t="shared" si="11"/>
        <v>3.88</v>
      </c>
      <c r="M143" s="113"/>
    </row>
    <row r="144" spans="1:13" x14ac:dyDescent="0.2">
      <c r="A144" s="79"/>
      <c r="B144" s="76" t="s">
        <v>534</v>
      </c>
      <c r="C144" s="80">
        <v>1</v>
      </c>
      <c r="D144" s="80">
        <v>4.8</v>
      </c>
      <c r="E144" s="80">
        <v>0.2</v>
      </c>
      <c r="F144" s="80">
        <v>0.4</v>
      </c>
      <c r="G144" s="80">
        <f t="shared" si="12"/>
        <v>3.84</v>
      </c>
      <c r="H144" s="80"/>
      <c r="I144" s="80"/>
      <c r="J144" s="80"/>
      <c r="K144" s="80"/>
      <c r="L144" s="81">
        <f t="shared" si="11"/>
        <v>3.84</v>
      </c>
      <c r="M144" s="82"/>
    </row>
    <row r="145" spans="1:13" s="114" customFormat="1" x14ac:dyDescent="0.2">
      <c r="A145" s="108"/>
      <c r="B145" s="109" t="s">
        <v>535</v>
      </c>
      <c r="C145" s="110">
        <v>1</v>
      </c>
      <c r="D145" s="110">
        <v>4.8</v>
      </c>
      <c r="E145" s="110">
        <v>0.2</v>
      </c>
      <c r="F145" s="110">
        <v>0.4</v>
      </c>
      <c r="G145" s="110">
        <f t="shared" si="12"/>
        <v>3.84</v>
      </c>
      <c r="H145" s="110"/>
      <c r="I145" s="110"/>
      <c r="J145" s="110"/>
      <c r="K145" s="110"/>
      <c r="L145" s="112">
        <f t="shared" si="11"/>
        <v>3.84</v>
      </c>
      <c r="M145" s="113"/>
    </row>
    <row r="146" spans="1:13" x14ac:dyDescent="0.2">
      <c r="A146" s="79"/>
      <c r="B146" s="76" t="s">
        <v>536</v>
      </c>
      <c r="C146" s="80">
        <v>1</v>
      </c>
      <c r="D146" s="80">
        <v>4.8</v>
      </c>
      <c r="E146" s="80">
        <v>0.2</v>
      </c>
      <c r="F146" s="80">
        <v>0.4</v>
      </c>
      <c r="G146" s="80">
        <f t="shared" si="12"/>
        <v>3.84</v>
      </c>
      <c r="H146" s="80"/>
      <c r="I146" s="80"/>
      <c r="J146" s="80"/>
      <c r="K146" s="80"/>
      <c r="L146" s="81">
        <f t="shared" si="11"/>
        <v>3.84</v>
      </c>
      <c r="M146" s="82"/>
    </row>
    <row r="147" spans="1:13" s="114" customFormat="1" x14ac:dyDescent="0.2">
      <c r="A147" s="108"/>
      <c r="B147" s="109" t="s">
        <v>537</v>
      </c>
      <c r="C147" s="110">
        <v>1</v>
      </c>
      <c r="D147" s="110">
        <v>4.8</v>
      </c>
      <c r="E147" s="110">
        <v>0.2</v>
      </c>
      <c r="F147" s="110">
        <v>0.4</v>
      </c>
      <c r="G147" s="110">
        <f t="shared" si="12"/>
        <v>3.84</v>
      </c>
      <c r="H147" s="110"/>
      <c r="I147" s="110"/>
      <c r="J147" s="110"/>
      <c r="K147" s="110"/>
      <c r="L147" s="112">
        <f t="shared" si="11"/>
        <v>3.84</v>
      </c>
      <c r="M147" s="113"/>
    </row>
    <row r="148" spans="1:13" x14ac:dyDescent="0.2">
      <c r="A148" s="79"/>
      <c r="B148" s="76" t="s">
        <v>538</v>
      </c>
      <c r="C148" s="80">
        <v>1</v>
      </c>
      <c r="D148" s="80">
        <v>4.8</v>
      </c>
      <c r="E148" s="80">
        <v>0.2</v>
      </c>
      <c r="F148" s="80">
        <v>0.4</v>
      </c>
      <c r="G148" s="80">
        <f t="shared" si="12"/>
        <v>3.84</v>
      </c>
      <c r="H148" s="80"/>
      <c r="I148" s="80"/>
      <c r="J148" s="80"/>
      <c r="K148" s="80"/>
      <c r="L148" s="81">
        <f t="shared" si="11"/>
        <v>3.84</v>
      </c>
      <c r="M148" s="82"/>
    </row>
    <row r="149" spans="1:13" s="114" customFormat="1" x14ac:dyDescent="0.2">
      <c r="A149" s="108"/>
      <c r="B149" s="109" t="s">
        <v>539</v>
      </c>
      <c r="C149" s="110">
        <v>1</v>
      </c>
      <c r="D149" s="110">
        <v>4.7</v>
      </c>
      <c r="E149" s="110">
        <v>0.18</v>
      </c>
      <c r="F149" s="110">
        <v>0.4</v>
      </c>
      <c r="G149" s="110">
        <f t="shared" si="12"/>
        <v>3.7600000000000002</v>
      </c>
      <c r="H149" s="110"/>
      <c r="I149" s="110"/>
      <c r="J149" s="110"/>
      <c r="K149" s="110"/>
      <c r="L149" s="112">
        <f t="shared" si="11"/>
        <v>3.7600000000000002</v>
      </c>
      <c r="M149" s="113"/>
    </row>
    <row r="150" spans="1:13" x14ac:dyDescent="0.2">
      <c r="A150" s="79"/>
      <c r="B150" s="76" t="s">
        <v>540</v>
      </c>
      <c r="C150" s="80">
        <v>1</v>
      </c>
      <c r="D150" s="80">
        <v>4.5999999999999996</v>
      </c>
      <c r="E150" s="80">
        <v>0.18</v>
      </c>
      <c r="F150" s="80">
        <v>0.4</v>
      </c>
      <c r="G150" s="80">
        <f t="shared" si="12"/>
        <v>3.6799999999999997</v>
      </c>
      <c r="H150" s="80"/>
      <c r="I150" s="80"/>
      <c r="J150" s="80"/>
      <c r="K150" s="80"/>
      <c r="L150" s="81">
        <f t="shared" si="11"/>
        <v>3.6799999999999997</v>
      </c>
      <c r="M150" s="82"/>
    </row>
    <row r="151" spans="1:13" s="114" customFormat="1" x14ac:dyDescent="0.2">
      <c r="A151" s="108"/>
      <c r="B151" s="109" t="s">
        <v>541</v>
      </c>
      <c r="C151" s="110">
        <v>1</v>
      </c>
      <c r="D151" s="110">
        <v>4.5999999999999996</v>
      </c>
      <c r="E151" s="110">
        <v>0.18</v>
      </c>
      <c r="F151" s="110">
        <v>0.4</v>
      </c>
      <c r="G151" s="110">
        <f t="shared" si="12"/>
        <v>3.6799999999999997</v>
      </c>
      <c r="H151" s="110"/>
      <c r="I151" s="110"/>
      <c r="J151" s="110"/>
      <c r="K151" s="110"/>
      <c r="L151" s="112">
        <f t="shared" si="11"/>
        <v>3.6799999999999997</v>
      </c>
      <c r="M151" s="113"/>
    </row>
    <row r="152" spans="1:13" x14ac:dyDescent="0.2">
      <c r="A152" s="79"/>
      <c r="B152" s="76" t="s">
        <v>542</v>
      </c>
      <c r="C152" s="80">
        <v>1</v>
      </c>
      <c r="D152" s="80">
        <v>4.5999999999999996</v>
      </c>
      <c r="E152" s="80">
        <v>0.18</v>
      </c>
      <c r="F152" s="80">
        <v>0.4</v>
      </c>
      <c r="G152" s="80">
        <f t="shared" si="12"/>
        <v>3.6799999999999997</v>
      </c>
      <c r="H152" s="80"/>
      <c r="I152" s="80"/>
      <c r="J152" s="80"/>
      <c r="K152" s="80"/>
      <c r="L152" s="81">
        <f t="shared" si="11"/>
        <v>3.6799999999999997</v>
      </c>
      <c r="M152" s="82"/>
    </row>
    <row r="153" spans="1:13" s="114" customFormat="1" x14ac:dyDescent="0.2">
      <c r="A153" s="108"/>
      <c r="B153" s="109" t="s">
        <v>543</v>
      </c>
      <c r="C153" s="110">
        <v>1</v>
      </c>
      <c r="D153" s="110">
        <v>4.5999999999999996</v>
      </c>
      <c r="E153" s="110">
        <v>0.18</v>
      </c>
      <c r="F153" s="110">
        <v>0.4</v>
      </c>
      <c r="G153" s="110">
        <f t="shared" si="12"/>
        <v>3.6799999999999997</v>
      </c>
      <c r="H153" s="110"/>
      <c r="I153" s="110"/>
      <c r="J153" s="110"/>
      <c r="K153" s="110"/>
      <c r="L153" s="112">
        <f t="shared" si="11"/>
        <v>3.6799999999999997</v>
      </c>
      <c r="M153" s="113"/>
    </row>
    <row r="154" spans="1:13" x14ac:dyDescent="0.2">
      <c r="A154" s="79"/>
      <c r="B154" s="76" t="s">
        <v>544</v>
      </c>
      <c r="C154" s="80">
        <v>1</v>
      </c>
      <c r="D154" s="80">
        <v>4.05</v>
      </c>
      <c r="E154" s="80">
        <v>0.18</v>
      </c>
      <c r="F154" s="80">
        <v>0.4</v>
      </c>
      <c r="G154" s="80">
        <f t="shared" si="12"/>
        <v>3.24</v>
      </c>
      <c r="H154" s="80"/>
      <c r="I154" s="80"/>
      <c r="J154" s="80"/>
      <c r="K154" s="80"/>
      <c r="L154" s="81">
        <f t="shared" si="11"/>
        <v>3.24</v>
      </c>
      <c r="M154" s="82"/>
    </row>
    <row r="155" spans="1:13" s="114" customFormat="1" x14ac:dyDescent="0.2">
      <c r="A155" s="108"/>
      <c r="B155" s="109" t="s">
        <v>545</v>
      </c>
      <c r="C155" s="110">
        <v>1</v>
      </c>
      <c r="D155" s="110">
        <v>4.0999999999999996</v>
      </c>
      <c r="E155" s="110">
        <v>0.18</v>
      </c>
      <c r="F155" s="110">
        <v>0.4</v>
      </c>
      <c r="G155" s="110">
        <f t="shared" si="12"/>
        <v>3.28</v>
      </c>
      <c r="H155" s="110"/>
      <c r="I155" s="110"/>
      <c r="J155" s="110"/>
      <c r="K155" s="110"/>
      <c r="L155" s="112">
        <f t="shared" si="11"/>
        <v>3.28</v>
      </c>
      <c r="M155" s="113"/>
    </row>
    <row r="156" spans="1:13" x14ac:dyDescent="0.2">
      <c r="A156" s="90"/>
      <c r="B156" s="92" t="s">
        <v>8</v>
      </c>
      <c r="C156" s="84"/>
      <c r="D156" s="84"/>
      <c r="E156" s="84"/>
      <c r="F156" s="84"/>
      <c r="G156" s="84"/>
      <c r="H156" s="84"/>
      <c r="I156" s="84"/>
      <c r="J156" s="84"/>
      <c r="K156" s="84"/>
      <c r="L156" s="85">
        <f>SUM(L136:L155)</f>
        <v>73.583999999999989</v>
      </c>
      <c r="M156" s="86" t="s">
        <v>18</v>
      </c>
    </row>
    <row r="157" spans="1:13" x14ac:dyDescent="0.2">
      <c r="A157" s="78"/>
      <c r="B157" s="91"/>
      <c r="C157" s="91"/>
      <c r="D157" s="91"/>
      <c r="E157" s="91"/>
      <c r="F157" s="91"/>
      <c r="G157" s="91"/>
      <c r="H157" s="91"/>
      <c r="I157" s="91"/>
      <c r="J157" s="91"/>
      <c r="K157" s="91"/>
      <c r="L157" s="87"/>
      <c r="M157" s="78"/>
    </row>
    <row r="158" spans="1:13" x14ac:dyDescent="0.2">
      <c r="A158" s="77" t="s">
        <v>78</v>
      </c>
      <c r="B158" s="425" t="str">
        <f>'Planilha Orçamentária'!D36</f>
        <v>Fornecimento, dobragem e colocação em fôrma, de armadura CA-50 A média, diâmetro de 6.3 a 10.0 mm</v>
      </c>
      <c r="C158" s="426"/>
      <c r="D158" s="426"/>
      <c r="E158" s="426"/>
      <c r="F158" s="426"/>
      <c r="G158" s="426"/>
      <c r="H158" s="426"/>
      <c r="I158" s="426"/>
      <c r="J158" s="426"/>
      <c r="K158" s="426"/>
      <c r="L158" s="427"/>
      <c r="M158" s="78"/>
    </row>
    <row r="159" spans="1:13" x14ac:dyDescent="0.2">
      <c r="A159" s="79"/>
      <c r="B159" s="76" t="s">
        <v>548</v>
      </c>
      <c r="C159" s="80"/>
      <c r="D159" s="80">
        <f>(5.975+5.725+5.975)*2</f>
        <v>35.349999999999994</v>
      </c>
      <c r="E159" s="80"/>
      <c r="F159" s="80"/>
      <c r="G159" s="80"/>
      <c r="H159" s="80"/>
      <c r="I159" s="101">
        <v>0.61699999999999999</v>
      </c>
      <c r="J159" s="80">
        <f>TRUNC(I159*D159,2)</f>
        <v>21.81</v>
      </c>
      <c r="K159" s="80"/>
      <c r="L159" s="81">
        <f>J159</f>
        <v>21.81</v>
      </c>
      <c r="M159" s="82"/>
    </row>
    <row r="160" spans="1:13" x14ac:dyDescent="0.2">
      <c r="A160" s="79"/>
      <c r="B160" s="76" t="s">
        <v>549</v>
      </c>
      <c r="C160" s="80"/>
      <c r="D160" s="80">
        <f>31*1.08</f>
        <v>33.480000000000004</v>
      </c>
      <c r="E160" s="80"/>
      <c r="F160" s="80"/>
      <c r="G160" s="80"/>
      <c r="H160" s="80"/>
      <c r="I160" s="101">
        <v>0.245</v>
      </c>
      <c r="J160" s="80">
        <f t="shared" ref="J160:J198" si="13">TRUNC(I160*D160,2)</f>
        <v>8.1999999999999993</v>
      </c>
      <c r="K160" s="80"/>
      <c r="L160" s="81">
        <f t="shared" ref="L160:L198" si="14">J160</f>
        <v>8.1999999999999993</v>
      </c>
      <c r="M160" s="82"/>
    </row>
    <row r="161" spans="1:13" s="114" customFormat="1" x14ac:dyDescent="0.2">
      <c r="A161" s="108"/>
      <c r="B161" s="109" t="s">
        <v>546</v>
      </c>
      <c r="C161" s="110"/>
      <c r="D161" s="110">
        <f>(6*6)</f>
        <v>36</v>
      </c>
      <c r="E161" s="110"/>
      <c r="F161" s="110"/>
      <c r="G161" s="110"/>
      <c r="H161" s="110"/>
      <c r="I161" s="111">
        <v>0.61699999999999999</v>
      </c>
      <c r="J161" s="110">
        <f t="shared" si="13"/>
        <v>22.21</v>
      </c>
      <c r="K161" s="110"/>
      <c r="L161" s="112">
        <f t="shared" si="14"/>
        <v>22.21</v>
      </c>
      <c r="M161" s="113"/>
    </row>
    <row r="162" spans="1:13" s="114" customFormat="1" x14ac:dyDescent="0.2">
      <c r="A162" s="108"/>
      <c r="B162" s="109" t="s">
        <v>547</v>
      </c>
      <c r="C162" s="110"/>
      <c r="D162" s="110">
        <f>32*1.08</f>
        <v>34.56</v>
      </c>
      <c r="E162" s="110"/>
      <c r="F162" s="110"/>
      <c r="G162" s="110"/>
      <c r="H162" s="110"/>
      <c r="I162" s="111">
        <v>0.245</v>
      </c>
      <c r="J162" s="110">
        <f t="shared" si="13"/>
        <v>8.4600000000000009</v>
      </c>
      <c r="K162" s="110"/>
      <c r="L162" s="112">
        <f t="shared" si="14"/>
        <v>8.4600000000000009</v>
      </c>
      <c r="M162" s="113"/>
    </row>
    <row r="163" spans="1:13" x14ac:dyDescent="0.2">
      <c r="A163" s="79"/>
      <c r="B163" s="76" t="s">
        <v>550</v>
      </c>
      <c r="C163" s="80"/>
      <c r="D163" s="80">
        <f>6*6</f>
        <v>36</v>
      </c>
      <c r="E163" s="80"/>
      <c r="F163" s="80"/>
      <c r="G163" s="80"/>
      <c r="H163" s="80"/>
      <c r="I163" s="101">
        <v>0.61699999999999999</v>
      </c>
      <c r="J163" s="80">
        <f t="shared" si="13"/>
        <v>22.21</v>
      </c>
      <c r="K163" s="80"/>
      <c r="L163" s="81">
        <f t="shared" si="14"/>
        <v>22.21</v>
      </c>
      <c r="M163" s="82"/>
    </row>
    <row r="164" spans="1:13" x14ac:dyDescent="0.2">
      <c r="A164" s="79"/>
      <c r="B164" s="76" t="s">
        <v>551</v>
      </c>
      <c r="C164" s="80"/>
      <c r="D164" s="80">
        <f>32*1.08</f>
        <v>34.56</v>
      </c>
      <c r="E164" s="80"/>
      <c r="F164" s="80"/>
      <c r="G164" s="80"/>
      <c r="H164" s="80"/>
      <c r="I164" s="101">
        <v>0.245</v>
      </c>
      <c r="J164" s="80">
        <f t="shared" si="13"/>
        <v>8.4600000000000009</v>
      </c>
      <c r="K164" s="80"/>
      <c r="L164" s="81">
        <f t="shared" si="14"/>
        <v>8.4600000000000009</v>
      </c>
      <c r="M164" s="82"/>
    </row>
    <row r="165" spans="1:13" s="114" customFormat="1" x14ac:dyDescent="0.2">
      <c r="A165" s="108"/>
      <c r="B165" s="109" t="s">
        <v>552</v>
      </c>
      <c r="C165" s="110"/>
      <c r="D165" s="110">
        <f>6*6</f>
        <v>36</v>
      </c>
      <c r="E165" s="110"/>
      <c r="F165" s="110"/>
      <c r="G165" s="110"/>
      <c r="H165" s="110"/>
      <c r="I165" s="111">
        <v>0.61699999999999999</v>
      </c>
      <c r="J165" s="110">
        <f t="shared" si="13"/>
        <v>22.21</v>
      </c>
      <c r="K165" s="110"/>
      <c r="L165" s="112">
        <f t="shared" si="14"/>
        <v>22.21</v>
      </c>
      <c r="M165" s="113"/>
    </row>
    <row r="166" spans="1:13" s="114" customFormat="1" x14ac:dyDescent="0.2">
      <c r="A166" s="108"/>
      <c r="B166" s="109" t="s">
        <v>569</v>
      </c>
      <c r="C166" s="110"/>
      <c r="D166" s="110">
        <f>32*1.08</f>
        <v>34.56</v>
      </c>
      <c r="E166" s="110"/>
      <c r="F166" s="110"/>
      <c r="G166" s="110"/>
      <c r="H166" s="110"/>
      <c r="I166" s="111">
        <v>0.245</v>
      </c>
      <c r="J166" s="110">
        <f t="shared" si="13"/>
        <v>8.4600000000000009</v>
      </c>
      <c r="K166" s="110"/>
      <c r="L166" s="112">
        <f t="shared" si="14"/>
        <v>8.4600000000000009</v>
      </c>
      <c r="M166" s="113"/>
    </row>
    <row r="167" spans="1:13" x14ac:dyDescent="0.2">
      <c r="A167" s="79"/>
      <c r="B167" s="76" t="s">
        <v>553</v>
      </c>
      <c r="C167" s="80"/>
      <c r="D167" s="80">
        <f>(5.825+5.575+5.825)*2</f>
        <v>34.450000000000003</v>
      </c>
      <c r="E167" s="80"/>
      <c r="F167" s="80"/>
      <c r="G167" s="80"/>
      <c r="H167" s="80"/>
      <c r="I167" s="101">
        <v>0.61699999999999999</v>
      </c>
      <c r="J167" s="80">
        <f t="shared" si="13"/>
        <v>21.25</v>
      </c>
      <c r="K167" s="80"/>
      <c r="L167" s="81">
        <f t="shared" si="14"/>
        <v>21.25</v>
      </c>
      <c r="M167" s="82"/>
    </row>
    <row r="168" spans="1:13" x14ac:dyDescent="0.2">
      <c r="A168" s="79"/>
      <c r="B168" s="76" t="s">
        <v>570</v>
      </c>
      <c r="C168" s="80"/>
      <c r="D168" s="80">
        <f>32*1.08</f>
        <v>34.56</v>
      </c>
      <c r="E168" s="80"/>
      <c r="F168" s="80"/>
      <c r="G168" s="80"/>
      <c r="H168" s="80"/>
      <c r="I168" s="101">
        <v>0.245</v>
      </c>
      <c r="J168" s="80">
        <f t="shared" si="13"/>
        <v>8.4600000000000009</v>
      </c>
      <c r="K168" s="80"/>
      <c r="L168" s="81">
        <f t="shared" si="14"/>
        <v>8.4600000000000009</v>
      </c>
      <c r="M168" s="82"/>
    </row>
    <row r="169" spans="1:13" s="114" customFormat="1" x14ac:dyDescent="0.2">
      <c r="A169" s="108"/>
      <c r="B169" s="109" t="s">
        <v>554</v>
      </c>
      <c r="C169" s="110"/>
      <c r="D169" s="110">
        <f>(5.425+5.175+5.425)*2</f>
        <v>32.049999999999997</v>
      </c>
      <c r="E169" s="110"/>
      <c r="F169" s="110"/>
      <c r="G169" s="110"/>
      <c r="H169" s="110"/>
      <c r="I169" s="111">
        <v>0.61699999999999999</v>
      </c>
      <c r="J169" s="110">
        <f t="shared" si="13"/>
        <v>19.77</v>
      </c>
      <c r="K169" s="110"/>
      <c r="L169" s="112">
        <f t="shared" si="14"/>
        <v>19.77</v>
      </c>
      <c r="M169" s="113"/>
    </row>
    <row r="170" spans="1:13" s="114" customFormat="1" x14ac:dyDescent="0.2">
      <c r="A170" s="108"/>
      <c r="B170" s="109" t="s">
        <v>571</v>
      </c>
      <c r="C170" s="110"/>
      <c r="D170" s="110">
        <f>27*1.04</f>
        <v>28.080000000000002</v>
      </c>
      <c r="E170" s="110"/>
      <c r="F170" s="110"/>
      <c r="G170" s="110"/>
      <c r="H170" s="110"/>
      <c r="I170" s="111">
        <v>0.245</v>
      </c>
      <c r="J170" s="110">
        <f t="shared" si="13"/>
        <v>6.87</v>
      </c>
      <c r="K170" s="110"/>
      <c r="L170" s="112">
        <f t="shared" si="14"/>
        <v>6.87</v>
      </c>
      <c r="M170" s="113"/>
    </row>
    <row r="171" spans="1:13" x14ac:dyDescent="0.2">
      <c r="A171" s="79"/>
      <c r="B171" s="76" t="s">
        <v>555</v>
      </c>
      <c r="C171" s="80"/>
      <c r="D171" s="80">
        <f>5.3895*6</f>
        <v>32.337000000000003</v>
      </c>
      <c r="E171" s="80"/>
      <c r="F171" s="80"/>
      <c r="G171" s="80"/>
      <c r="H171" s="80"/>
      <c r="I171" s="101">
        <v>0.61699999999999999</v>
      </c>
      <c r="J171" s="80">
        <f t="shared" si="13"/>
        <v>19.95</v>
      </c>
      <c r="K171" s="80"/>
      <c r="L171" s="81">
        <f t="shared" si="14"/>
        <v>19.95</v>
      </c>
      <c r="M171" s="82"/>
    </row>
    <row r="172" spans="1:13" x14ac:dyDescent="0.2">
      <c r="A172" s="79"/>
      <c r="B172" s="76" t="s">
        <v>572</v>
      </c>
      <c r="C172" s="80"/>
      <c r="D172" s="80">
        <f>26*1.04</f>
        <v>27.04</v>
      </c>
      <c r="E172" s="80"/>
      <c r="F172" s="80"/>
      <c r="G172" s="80"/>
      <c r="H172" s="80"/>
      <c r="I172" s="101">
        <v>0.245</v>
      </c>
      <c r="J172" s="80">
        <f t="shared" si="13"/>
        <v>6.62</v>
      </c>
      <c r="K172" s="80"/>
      <c r="L172" s="81">
        <f t="shared" si="14"/>
        <v>6.62</v>
      </c>
      <c r="M172" s="82"/>
    </row>
    <row r="173" spans="1:13" s="114" customFormat="1" x14ac:dyDescent="0.2">
      <c r="A173" s="108"/>
      <c r="B173" s="109" t="s">
        <v>556</v>
      </c>
      <c r="C173" s="110"/>
      <c r="D173" s="110">
        <f>6.025*2+5.775*2+6.025*2</f>
        <v>35.650000000000006</v>
      </c>
      <c r="E173" s="110"/>
      <c r="F173" s="110"/>
      <c r="G173" s="110"/>
      <c r="H173" s="110"/>
      <c r="I173" s="111">
        <v>0.61699999999999999</v>
      </c>
      <c r="J173" s="110">
        <f t="shared" si="13"/>
        <v>21.99</v>
      </c>
      <c r="K173" s="110"/>
      <c r="L173" s="112">
        <f t="shared" si="14"/>
        <v>21.99</v>
      </c>
      <c r="M173" s="113"/>
    </row>
    <row r="174" spans="1:13" s="114" customFormat="1" x14ac:dyDescent="0.2">
      <c r="A174" s="108"/>
      <c r="B174" s="109" t="s">
        <v>573</v>
      </c>
      <c r="C174" s="110"/>
      <c r="D174" s="110">
        <f>32*1.08</f>
        <v>34.56</v>
      </c>
      <c r="E174" s="110"/>
      <c r="F174" s="110"/>
      <c r="G174" s="110"/>
      <c r="H174" s="110"/>
      <c r="I174" s="111">
        <v>0.245</v>
      </c>
      <c r="J174" s="110">
        <f t="shared" si="13"/>
        <v>8.4600000000000009</v>
      </c>
      <c r="K174" s="110"/>
      <c r="L174" s="112">
        <f t="shared" si="14"/>
        <v>8.4600000000000009</v>
      </c>
      <c r="M174" s="113"/>
    </row>
    <row r="175" spans="1:13" x14ac:dyDescent="0.2">
      <c r="A175" s="79"/>
      <c r="B175" s="76" t="s">
        <v>557</v>
      </c>
      <c r="C175" s="80"/>
      <c r="D175" s="80">
        <f>5.825*2+5.575*2+5.825*2</f>
        <v>34.450000000000003</v>
      </c>
      <c r="E175" s="80"/>
      <c r="F175" s="80"/>
      <c r="G175" s="80"/>
      <c r="H175" s="80"/>
      <c r="I175" s="101">
        <v>0.61699999999999999</v>
      </c>
      <c r="J175" s="80">
        <f t="shared" si="13"/>
        <v>21.25</v>
      </c>
      <c r="K175" s="80"/>
      <c r="L175" s="81">
        <f t="shared" si="14"/>
        <v>21.25</v>
      </c>
      <c r="M175" s="82"/>
    </row>
    <row r="176" spans="1:13" x14ac:dyDescent="0.2">
      <c r="A176" s="79"/>
      <c r="B176" s="76" t="s">
        <v>574</v>
      </c>
      <c r="C176" s="80"/>
      <c r="D176" s="80">
        <f>32*1.08</f>
        <v>34.56</v>
      </c>
      <c r="E176" s="80"/>
      <c r="F176" s="80"/>
      <c r="G176" s="80"/>
      <c r="H176" s="80"/>
      <c r="I176" s="101">
        <v>0.245</v>
      </c>
      <c r="J176" s="80">
        <f t="shared" si="13"/>
        <v>8.4600000000000009</v>
      </c>
      <c r="K176" s="80"/>
      <c r="L176" s="81">
        <f t="shared" si="14"/>
        <v>8.4600000000000009</v>
      </c>
      <c r="M176" s="82"/>
    </row>
    <row r="177" spans="1:16" s="114" customFormat="1" x14ac:dyDescent="0.2">
      <c r="A177" s="108"/>
      <c r="B177" s="109" t="s">
        <v>558</v>
      </c>
      <c r="C177" s="110"/>
      <c r="D177" s="110">
        <f>6*6</f>
        <v>36</v>
      </c>
      <c r="E177" s="110"/>
      <c r="F177" s="110"/>
      <c r="G177" s="110"/>
      <c r="H177" s="110"/>
      <c r="I177" s="111">
        <v>0.61699999999999999</v>
      </c>
      <c r="J177" s="110">
        <f t="shared" si="13"/>
        <v>22.21</v>
      </c>
      <c r="K177" s="110"/>
      <c r="L177" s="112">
        <f t="shared" si="14"/>
        <v>22.21</v>
      </c>
      <c r="M177" s="113"/>
    </row>
    <row r="178" spans="1:16" s="114" customFormat="1" x14ac:dyDescent="0.2">
      <c r="A178" s="108"/>
      <c r="B178" s="109" t="s">
        <v>575</v>
      </c>
      <c r="C178" s="110"/>
      <c r="D178" s="110">
        <f>32*1.08</f>
        <v>34.56</v>
      </c>
      <c r="E178" s="110"/>
      <c r="F178" s="110"/>
      <c r="G178" s="110"/>
      <c r="H178" s="110"/>
      <c r="I178" s="111">
        <v>0.245</v>
      </c>
      <c r="J178" s="110">
        <f t="shared" si="13"/>
        <v>8.4600000000000009</v>
      </c>
      <c r="K178" s="110"/>
      <c r="L178" s="112">
        <f t="shared" si="14"/>
        <v>8.4600000000000009</v>
      </c>
      <c r="M178" s="113"/>
    </row>
    <row r="179" spans="1:16" x14ac:dyDescent="0.2">
      <c r="A179" s="79"/>
      <c r="B179" s="76" t="s">
        <v>559</v>
      </c>
      <c r="C179" s="80"/>
      <c r="D179" s="80">
        <f>6*6</f>
        <v>36</v>
      </c>
      <c r="E179" s="80"/>
      <c r="F179" s="80"/>
      <c r="G179" s="80"/>
      <c r="H179" s="80"/>
      <c r="I179" s="101">
        <v>0.61699999999999999</v>
      </c>
      <c r="J179" s="80">
        <f t="shared" si="13"/>
        <v>22.21</v>
      </c>
      <c r="K179" s="80"/>
      <c r="L179" s="81">
        <f t="shared" si="14"/>
        <v>22.21</v>
      </c>
      <c r="M179" s="82"/>
    </row>
    <row r="180" spans="1:16" x14ac:dyDescent="0.2">
      <c r="A180" s="79"/>
      <c r="B180" s="76" t="s">
        <v>576</v>
      </c>
      <c r="C180" s="80"/>
      <c r="D180" s="80">
        <f>32*1.08</f>
        <v>34.56</v>
      </c>
      <c r="E180" s="80"/>
      <c r="F180" s="80"/>
      <c r="G180" s="80"/>
      <c r="H180" s="80"/>
      <c r="I180" s="101">
        <v>0.245</v>
      </c>
      <c r="J180" s="80">
        <f t="shared" si="13"/>
        <v>8.4600000000000009</v>
      </c>
      <c r="K180" s="80"/>
      <c r="L180" s="81">
        <f t="shared" si="14"/>
        <v>8.4600000000000009</v>
      </c>
      <c r="M180" s="82"/>
      <c r="P180" s="95">
        <f>SUM(L159,L161,L163,L165,L167,L169,L171,L173,L175,L177,L179,L181,L183,L185,L187,L189,L191,L193,L195,L197)</f>
        <v>430.34</v>
      </c>
    </row>
    <row r="181" spans="1:16" s="114" customFormat="1" x14ac:dyDescent="0.2">
      <c r="A181" s="108"/>
      <c r="B181" s="109" t="s">
        <v>560</v>
      </c>
      <c r="C181" s="110"/>
      <c r="D181" s="110">
        <f>6*6</f>
        <v>36</v>
      </c>
      <c r="E181" s="110"/>
      <c r="F181" s="110"/>
      <c r="G181" s="110"/>
      <c r="H181" s="110"/>
      <c r="I181" s="111">
        <v>0.61699999999999999</v>
      </c>
      <c r="J181" s="110">
        <f t="shared" si="13"/>
        <v>22.21</v>
      </c>
      <c r="K181" s="110"/>
      <c r="L181" s="112">
        <f t="shared" si="14"/>
        <v>22.21</v>
      </c>
      <c r="M181" s="113"/>
      <c r="P181" s="95">
        <f>SUM(L160,L162,L164,L166,L168,L170,L172,L174,L176,L178,L180,L182,L184,L186,L188,L190,L192,L194,L196,L198)</f>
        <v>159.74</v>
      </c>
    </row>
    <row r="182" spans="1:16" s="114" customFormat="1" x14ac:dyDescent="0.2">
      <c r="A182" s="108"/>
      <c r="B182" s="109" t="s">
        <v>577</v>
      </c>
      <c r="C182" s="110"/>
      <c r="D182" s="110">
        <f>32*1.08</f>
        <v>34.56</v>
      </c>
      <c r="E182" s="110"/>
      <c r="F182" s="110"/>
      <c r="G182" s="110"/>
      <c r="H182" s="110"/>
      <c r="I182" s="111">
        <v>0.245</v>
      </c>
      <c r="J182" s="110">
        <f t="shared" si="13"/>
        <v>8.4600000000000009</v>
      </c>
      <c r="K182" s="110"/>
      <c r="L182" s="112">
        <f t="shared" si="14"/>
        <v>8.4600000000000009</v>
      </c>
      <c r="M182" s="113"/>
    </row>
    <row r="183" spans="1:16" x14ac:dyDescent="0.2">
      <c r="A183" s="79"/>
      <c r="B183" s="76" t="s">
        <v>561</v>
      </c>
      <c r="C183" s="80"/>
      <c r="D183" s="80">
        <f>5.825*2+5.575*2+5.825*2</f>
        <v>34.450000000000003</v>
      </c>
      <c r="E183" s="80"/>
      <c r="F183" s="80"/>
      <c r="G183" s="80"/>
      <c r="H183" s="80"/>
      <c r="I183" s="101">
        <v>0.61699999999999999</v>
      </c>
      <c r="J183" s="80">
        <f t="shared" si="13"/>
        <v>21.25</v>
      </c>
      <c r="K183" s="80"/>
      <c r="L183" s="81">
        <f t="shared" si="14"/>
        <v>21.25</v>
      </c>
      <c r="M183" s="82"/>
    </row>
    <row r="184" spans="1:16" x14ac:dyDescent="0.2">
      <c r="A184" s="79"/>
      <c r="B184" s="76" t="s">
        <v>578</v>
      </c>
      <c r="C184" s="80"/>
      <c r="D184" s="80">
        <f>32*1.08</f>
        <v>34.56</v>
      </c>
      <c r="E184" s="80"/>
      <c r="F184" s="80"/>
      <c r="G184" s="80"/>
      <c r="H184" s="80"/>
      <c r="I184" s="101">
        <v>0.245</v>
      </c>
      <c r="J184" s="80">
        <f t="shared" si="13"/>
        <v>8.4600000000000009</v>
      </c>
      <c r="K184" s="80"/>
      <c r="L184" s="81">
        <f t="shared" si="14"/>
        <v>8.4600000000000009</v>
      </c>
      <c r="M184" s="82"/>
    </row>
    <row r="185" spans="1:16" s="114" customFormat="1" x14ac:dyDescent="0.2">
      <c r="A185" s="108"/>
      <c r="B185" s="109" t="s">
        <v>562</v>
      </c>
      <c r="C185" s="110"/>
      <c r="D185" s="110">
        <f>5.825*2+5.5643*2+5.825*2</f>
        <v>34.428600000000003</v>
      </c>
      <c r="E185" s="110"/>
      <c r="F185" s="110"/>
      <c r="G185" s="110"/>
      <c r="H185" s="110"/>
      <c r="I185" s="111">
        <v>0.61699999999999999</v>
      </c>
      <c r="J185" s="110">
        <f t="shared" si="13"/>
        <v>21.24</v>
      </c>
      <c r="K185" s="110"/>
      <c r="L185" s="112">
        <f t="shared" si="14"/>
        <v>21.24</v>
      </c>
      <c r="M185" s="113"/>
    </row>
    <row r="186" spans="1:16" s="114" customFormat="1" x14ac:dyDescent="0.2">
      <c r="A186" s="108"/>
      <c r="B186" s="109" t="s">
        <v>579</v>
      </c>
      <c r="C186" s="110"/>
      <c r="D186" s="110">
        <f>32*1.04</f>
        <v>33.28</v>
      </c>
      <c r="E186" s="110"/>
      <c r="F186" s="110"/>
      <c r="G186" s="110"/>
      <c r="H186" s="110"/>
      <c r="I186" s="111">
        <v>0.245</v>
      </c>
      <c r="J186" s="110">
        <f t="shared" si="13"/>
        <v>8.15</v>
      </c>
      <c r="K186" s="110"/>
      <c r="L186" s="112">
        <f t="shared" si="14"/>
        <v>8.15</v>
      </c>
      <c r="M186" s="113"/>
    </row>
    <row r="187" spans="1:16" x14ac:dyDescent="0.2">
      <c r="A187" s="79"/>
      <c r="B187" s="76" t="s">
        <v>563</v>
      </c>
      <c r="C187" s="80"/>
      <c r="D187" s="80">
        <f>6*6</f>
        <v>36</v>
      </c>
      <c r="E187" s="80"/>
      <c r="F187" s="80"/>
      <c r="G187" s="80"/>
      <c r="H187" s="80"/>
      <c r="I187" s="101">
        <v>0.61699999999999999</v>
      </c>
      <c r="J187" s="80">
        <f t="shared" si="13"/>
        <v>22.21</v>
      </c>
      <c r="K187" s="80"/>
      <c r="L187" s="81">
        <f t="shared" si="14"/>
        <v>22.21</v>
      </c>
      <c r="M187" s="82"/>
    </row>
    <row r="188" spans="1:16" x14ac:dyDescent="0.2">
      <c r="A188" s="79"/>
      <c r="B188" s="76" t="s">
        <v>580</v>
      </c>
      <c r="C188" s="80"/>
      <c r="D188" s="80">
        <f>31*1.04</f>
        <v>32.24</v>
      </c>
      <c r="E188" s="80"/>
      <c r="F188" s="80"/>
      <c r="G188" s="80"/>
      <c r="H188" s="80"/>
      <c r="I188" s="101">
        <v>0.245</v>
      </c>
      <c r="J188" s="80">
        <f t="shared" si="13"/>
        <v>7.89</v>
      </c>
      <c r="K188" s="80"/>
      <c r="L188" s="81">
        <f t="shared" si="14"/>
        <v>7.89</v>
      </c>
      <c r="M188" s="82"/>
    </row>
    <row r="189" spans="1:16" s="114" customFormat="1" x14ac:dyDescent="0.2">
      <c r="A189" s="108"/>
      <c r="B189" s="109" t="s">
        <v>564</v>
      </c>
      <c r="C189" s="110"/>
      <c r="D189" s="110">
        <f>6*6</f>
        <v>36</v>
      </c>
      <c r="E189" s="110"/>
      <c r="F189" s="110"/>
      <c r="G189" s="110"/>
      <c r="H189" s="110"/>
      <c r="I189" s="111">
        <v>0.61699999999999999</v>
      </c>
      <c r="J189" s="110">
        <f t="shared" si="13"/>
        <v>22.21</v>
      </c>
      <c r="K189" s="110"/>
      <c r="L189" s="112">
        <f t="shared" si="14"/>
        <v>22.21</v>
      </c>
      <c r="M189" s="113"/>
    </row>
    <row r="190" spans="1:16" s="114" customFormat="1" x14ac:dyDescent="0.2">
      <c r="A190" s="108"/>
      <c r="B190" s="109" t="s">
        <v>581</v>
      </c>
      <c r="C190" s="110"/>
      <c r="D190" s="110">
        <f>31*1.04</f>
        <v>32.24</v>
      </c>
      <c r="E190" s="110"/>
      <c r="F190" s="110"/>
      <c r="G190" s="110"/>
      <c r="H190" s="110"/>
      <c r="I190" s="111">
        <v>0.245</v>
      </c>
      <c r="J190" s="110">
        <f t="shared" si="13"/>
        <v>7.89</v>
      </c>
      <c r="K190" s="110"/>
      <c r="L190" s="112">
        <f t="shared" si="14"/>
        <v>7.89</v>
      </c>
      <c r="M190" s="113"/>
    </row>
    <row r="191" spans="1:16" x14ac:dyDescent="0.2">
      <c r="A191" s="79"/>
      <c r="B191" s="76" t="s">
        <v>565</v>
      </c>
      <c r="C191" s="80"/>
      <c r="D191" s="80">
        <f>6*6</f>
        <v>36</v>
      </c>
      <c r="E191" s="80"/>
      <c r="F191" s="80"/>
      <c r="G191" s="80"/>
      <c r="H191" s="80"/>
      <c r="I191" s="101">
        <v>0.61699999999999999</v>
      </c>
      <c r="J191" s="80">
        <f t="shared" si="13"/>
        <v>22.21</v>
      </c>
      <c r="K191" s="80"/>
      <c r="L191" s="81">
        <f t="shared" si="14"/>
        <v>22.21</v>
      </c>
      <c r="M191" s="82"/>
    </row>
    <row r="192" spans="1:16" x14ac:dyDescent="0.2">
      <c r="A192" s="79"/>
      <c r="B192" s="76" t="s">
        <v>582</v>
      </c>
      <c r="C192" s="80"/>
      <c r="D192" s="80">
        <f>31*1.04</f>
        <v>32.24</v>
      </c>
      <c r="E192" s="80"/>
      <c r="F192" s="80"/>
      <c r="G192" s="80"/>
      <c r="H192" s="80"/>
      <c r="I192" s="101">
        <v>0.245</v>
      </c>
      <c r="J192" s="80">
        <f t="shared" si="13"/>
        <v>7.89</v>
      </c>
      <c r="K192" s="80"/>
      <c r="L192" s="81">
        <f t="shared" si="14"/>
        <v>7.89</v>
      </c>
      <c r="M192" s="82"/>
    </row>
    <row r="193" spans="1:13" s="114" customFormat="1" x14ac:dyDescent="0.2">
      <c r="A193" s="108"/>
      <c r="B193" s="109" t="s">
        <v>566</v>
      </c>
      <c r="C193" s="110"/>
      <c r="D193" s="110">
        <f>5.925*2+5.686*2+5.925*2</f>
        <v>35.072000000000003</v>
      </c>
      <c r="E193" s="110"/>
      <c r="F193" s="110"/>
      <c r="G193" s="110"/>
      <c r="H193" s="110"/>
      <c r="I193" s="111">
        <v>0.61699999999999999</v>
      </c>
      <c r="J193" s="110">
        <f t="shared" si="13"/>
        <v>21.63</v>
      </c>
      <c r="K193" s="110"/>
      <c r="L193" s="112">
        <f t="shared" si="14"/>
        <v>21.63</v>
      </c>
      <c r="M193" s="113"/>
    </row>
    <row r="194" spans="1:13" s="114" customFormat="1" x14ac:dyDescent="0.2">
      <c r="A194" s="108"/>
      <c r="B194" s="109" t="s">
        <v>583</v>
      </c>
      <c r="C194" s="110"/>
      <c r="D194" s="110">
        <f>31*1.04</f>
        <v>32.24</v>
      </c>
      <c r="E194" s="110"/>
      <c r="F194" s="110"/>
      <c r="G194" s="110"/>
      <c r="H194" s="110"/>
      <c r="I194" s="111">
        <v>0.245</v>
      </c>
      <c r="J194" s="110">
        <f t="shared" si="13"/>
        <v>7.89</v>
      </c>
      <c r="K194" s="110"/>
      <c r="L194" s="112">
        <f t="shared" si="14"/>
        <v>7.89</v>
      </c>
      <c r="M194" s="113"/>
    </row>
    <row r="195" spans="1:13" x14ac:dyDescent="0.2">
      <c r="A195" s="79"/>
      <c r="B195" s="76" t="s">
        <v>567</v>
      </c>
      <c r="C195" s="80"/>
      <c r="D195" s="80">
        <f>5.475*2+5.225*2+5.475*2</f>
        <v>32.349999999999994</v>
      </c>
      <c r="E195" s="80"/>
      <c r="F195" s="80"/>
      <c r="G195" s="80"/>
      <c r="H195" s="80"/>
      <c r="I195" s="101">
        <v>0.61699999999999999</v>
      </c>
      <c r="J195" s="80">
        <f t="shared" si="13"/>
        <v>19.95</v>
      </c>
      <c r="K195" s="80"/>
      <c r="L195" s="81">
        <f t="shared" si="14"/>
        <v>19.95</v>
      </c>
      <c r="M195" s="82"/>
    </row>
    <row r="196" spans="1:13" x14ac:dyDescent="0.2">
      <c r="A196" s="79"/>
      <c r="B196" s="76" t="s">
        <v>584</v>
      </c>
      <c r="C196" s="80"/>
      <c r="D196" s="80">
        <f>27*1.04</f>
        <v>28.080000000000002</v>
      </c>
      <c r="E196" s="80"/>
      <c r="F196" s="80"/>
      <c r="G196" s="80"/>
      <c r="H196" s="80"/>
      <c r="I196" s="101">
        <v>0.245</v>
      </c>
      <c r="J196" s="80">
        <f t="shared" si="13"/>
        <v>6.87</v>
      </c>
      <c r="K196" s="80"/>
      <c r="L196" s="81">
        <f t="shared" si="14"/>
        <v>6.87</v>
      </c>
      <c r="M196" s="82"/>
    </row>
    <row r="197" spans="1:13" s="114" customFormat="1" x14ac:dyDescent="0.2">
      <c r="A197" s="108"/>
      <c r="B197" s="109" t="s">
        <v>568</v>
      </c>
      <c r="C197" s="110"/>
      <c r="D197" s="110">
        <f>5.5*6</f>
        <v>33</v>
      </c>
      <c r="E197" s="110"/>
      <c r="F197" s="110"/>
      <c r="G197" s="110"/>
      <c r="H197" s="110"/>
      <c r="I197" s="111">
        <v>0.61699999999999999</v>
      </c>
      <c r="J197" s="110">
        <f t="shared" si="13"/>
        <v>20.36</v>
      </c>
      <c r="K197" s="110"/>
      <c r="L197" s="112">
        <f t="shared" si="14"/>
        <v>20.36</v>
      </c>
      <c r="M197" s="113"/>
    </row>
    <row r="198" spans="1:13" s="114" customFormat="1" x14ac:dyDescent="0.2">
      <c r="A198" s="108"/>
      <c r="B198" s="109" t="s">
        <v>585</v>
      </c>
      <c r="C198" s="110"/>
      <c r="D198" s="110">
        <f>27*1.04</f>
        <v>28.080000000000002</v>
      </c>
      <c r="E198" s="110"/>
      <c r="F198" s="110"/>
      <c r="G198" s="110"/>
      <c r="H198" s="110"/>
      <c r="I198" s="111">
        <v>0.245</v>
      </c>
      <c r="J198" s="110">
        <f t="shared" si="13"/>
        <v>6.87</v>
      </c>
      <c r="K198" s="110"/>
      <c r="L198" s="112">
        <f t="shared" si="14"/>
        <v>6.87</v>
      </c>
      <c r="M198" s="113"/>
    </row>
    <row r="199" spans="1:13" x14ac:dyDescent="0.2">
      <c r="A199" s="79"/>
      <c r="B199" s="83" t="s">
        <v>8</v>
      </c>
      <c r="C199" s="84"/>
      <c r="D199" s="84"/>
      <c r="E199" s="84"/>
      <c r="F199" s="84"/>
      <c r="G199" s="84"/>
      <c r="H199" s="84"/>
      <c r="I199" s="84"/>
      <c r="J199" s="84"/>
      <c r="K199" s="84"/>
      <c r="L199" s="85">
        <f>SUM(L159:L198)</f>
        <v>590.07999999999981</v>
      </c>
      <c r="M199" s="86" t="s">
        <v>62</v>
      </c>
    </row>
    <row r="200" spans="1:13" x14ac:dyDescent="0.2">
      <c r="A200" s="78"/>
      <c r="B200" s="91"/>
      <c r="C200" s="91"/>
      <c r="D200" s="91"/>
      <c r="E200" s="91"/>
      <c r="F200" s="91"/>
      <c r="G200" s="91"/>
      <c r="H200" s="91"/>
      <c r="I200" s="91"/>
      <c r="J200" s="91"/>
      <c r="K200" s="91"/>
      <c r="L200" s="87"/>
      <c r="M200" s="88"/>
    </row>
    <row r="201" spans="1:13" x14ac:dyDescent="0.2">
      <c r="A201" s="89" t="s">
        <v>79</v>
      </c>
      <c r="B201" s="405" t="str">
        <f>'Planilha Orçamentária'!D37</f>
        <v>Fornecimento, preparo e aplicação de concreto Fck=25 MPa (brita 1 e 2) - (5% de perdas já incluído no custo)</v>
      </c>
      <c r="C201" s="405"/>
      <c r="D201" s="405"/>
      <c r="E201" s="405"/>
      <c r="F201" s="405"/>
      <c r="G201" s="405"/>
      <c r="H201" s="405"/>
      <c r="I201" s="405"/>
      <c r="J201" s="405"/>
      <c r="K201" s="405"/>
      <c r="L201" s="406"/>
      <c r="M201" s="78"/>
    </row>
    <row r="202" spans="1:13" x14ac:dyDescent="0.2">
      <c r="A202" s="79"/>
      <c r="B202" s="76" t="s">
        <v>526</v>
      </c>
      <c r="C202" s="80"/>
      <c r="D202" s="80">
        <v>4.6500000000000004</v>
      </c>
      <c r="E202" s="80">
        <v>0.2</v>
      </c>
      <c r="F202" s="80">
        <v>0.4</v>
      </c>
      <c r="G202" s="80"/>
      <c r="H202" s="101">
        <f>TRUNC(D202*E202*F202,3)</f>
        <v>0.372</v>
      </c>
      <c r="I202" s="80"/>
      <c r="J202" s="80"/>
      <c r="K202" s="80"/>
      <c r="L202" s="81">
        <f>H202</f>
        <v>0.372</v>
      </c>
      <c r="M202" s="82"/>
    </row>
    <row r="203" spans="1:13" s="114" customFormat="1" x14ac:dyDescent="0.2">
      <c r="A203" s="108"/>
      <c r="B203" s="109" t="s">
        <v>527</v>
      </c>
      <c r="C203" s="110"/>
      <c r="D203" s="110">
        <v>4.8</v>
      </c>
      <c r="E203" s="110">
        <v>0.2</v>
      </c>
      <c r="F203" s="110">
        <v>0.4</v>
      </c>
      <c r="G203" s="110"/>
      <c r="H203" s="111">
        <f t="shared" ref="H203:H221" si="15">TRUNC(D203*E203*F203,3)</f>
        <v>0.38400000000000001</v>
      </c>
      <c r="I203" s="110"/>
      <c r="J203" s="110"/>
      <c r="K203" s="110"/>
      <c r="L203" s="112">
        <f t="shared" ref="L203:L221" si="16">H203</f>
        <v>0.38400000000000001</v>
      </c>
      <c r="M203" s="113"/>
    </row>
    <row r="204" spans="1:13" x14ac:dyDescent="0.2">
      <c r="A204" s="79"/>
      <c r="B204" s="76" t="s">
        <v>528</v>
      </c>
      <c r="C204" s="80"/>
      <c r="D204" s="80">
        <v>4.8</v>
      </c>
      <c r="E204" s="80">
        <v>0.2</v>
      </c>
      <c r="F204" s="80">
        <v>0.4</v>
      </c>
      <c r="G204" s="80"/>
      <c r="H204" s="101">
        <f t="shared" si="15"/>
        <v>0.38400000000000001</v>
      </c>
      <c r="I204" s="80"/>
      <c r="J204" s="80"/>
      <c r="K204" s="80"/>
      <c r="L204" s="81">
        <f t="shared" si="16"/>
        <v>0.38400000000000001</v>
      </c>
      <c r="M204" s="82"/>
    </row>
    <row r="205" spans="1:13" s="114" customFormat="1" x14ac:dyDescent="0.2">
      <c r="A205" s="108"/>
      <c r="B205" s="109" t="s">
        <v>529</v>
      </c>
      <c r="C205" s="110"/>
      <c r="D205" s="110">
        <v>4.8</v>
      </c>
      <c r="E205" s="110">
        <v>0.2</v>
      </c>
      <c r="F205" s="110">
        <v>0.4</v>
      </c>
      <c r="G205" s="110"/>
      <c r="H205" s="111">
        <f t="shared" si="15"/>
        <v>0.38400000000000001</v>
      </c>
      <c r="I205" s="110"/>
      <c r="J205" s="110"/>
      <c r="K205" s="110"/>
      <c r="L205" s="112">
        <f t="shared" si="16"/>
        <v>0.38400000000000001</v>
      </c>
      <c r="M205" s="113"/>
    </row>
    <row r="206" spans="1:13" x14ac:dyDescent="0.2">
      <c r="A206" s="79"/>
      <c r="B206" s="76" t="s">
        <v>530</v>
      </c>
      <c r="C206" s="80"/>
      <c r="D206" s="80">
        <v>4.8</v>
      </c>
      <c r="E206" s="80">
        <v>0.2</v>
      </c>
      <c r="F206" s="80">
        <v>0.4</v>
      </c>
      <c r="G206" s="80"/>
      <c r="H206" s="101">
        <f t="shared" si="15"/>
        <v>0.38400000000000001</v>
      </c>
      <c r="I206" s="80"/>
      <c r="J206" s="80"/>
      <c r="K206" s="80"/>
      <c r="L206" s="81">
        <f t="shared" si="16"/>
        <v>0.38400000000000001</v>
      </c>
      <c r="M206" s="82"/>
    </row>
    <row r="207" spans="1:13" s="114" customFormat="1" x14ac:dyDescent="0.2">
      <c r="A207" s="108"/>
      <c r="B207" s="109" t="s">
        <v>531</v>
      </c>
      <c r="C207" s="110"/>
      <c r="D207" s="110">
        <v>4.0999999999999996</v>
      </c>
      <c r="E207" s="110">
        <v>0.18</v>
      </c>
      <c r="F207" s="110">
        <v>0.4</v>
      </c>
      <c r="G207" s="110"/>
      <c r="H207" s="111">
        <f t="shared" si="15"/>
        <v>0.29499999999999998</v>
      </c>
      <c r="I207" s="110"/>
      <c r="J207" s="110"/>
      <c r="K207" s="110"/>
      <c r="L207" s="112">
        <f t="shared" si="16"/>
        <v>0.29499999999999998</v>
      </c>
      <c r="M207" s="113"/>
    </row>
    <row r="208" spans="1:13" x14ac:dyDescent="0.2">
      <c r="A208" s="79"/>
      <c r="B208" s="76" t="s">
        <v>532</v>
      </c>
      <c r="C208" s="80"/>
      <c r="D208" s="80">
        <v>3.93</v>
      </c>
      <c r="E208" s="80">
        <v>0.18</v>
      </c>
      <c r="F208" s="80">
        <v>0.4</v>
      </c>
      <c r="G208" s="80"/>
      <c r="H208" s="101">
        <f t="shared" si="15"/>
        <v>0.28199999999999997</v>
      </c>
      <c r="I208" s="80"/>
      <c r="J208" s="80"/>
      <c r="K208" s="80"/>
      <c r="L208" s="81">
        <f t="shared" si="16"/>
        <v>0.28199999999999997</v>
      </c>
      <c r="M208" s="82"/>
    </row>
    <row r="209" spans="1:14" s="114" customFormat="1" x14ac:dyDescent="0.2">
      <c r="A209" s="108"/>
      <c r="B209" s="109" t="s">
        <v>533</v>
      </c>
      <c r="C209" s="110"/>
      <c r="D209" s="110">
        <v>4.8499999999999996</v>
      </c>
      <c r="E209" s="110">
        <v>0.2</v>
      </c>
      <c r="F209" s="110">
        <v>0.4</v>
      </c>
      <c r="G209" s="110"/>
      <c r="H209" s="111">
        <f t="shared" si="15"/>
        <v>0.38800000000000001</v>
      </c>
      <c r="I209" s="110"/>
      <c r="J209" s="110"/>
      <c r="K209" s="110"/>
      <c r="L209" s="112">
        <f t="shared" si="16"/>
        <v>0.38800000000000001</v>
      </c>
      <c r="M209" s="113"/>
    </row>
    <row r="210" spans="1:14" x14ac:dyDescent="0.2">
      <c r="A210" s="79"/>
      <c r="B210" s="76" t="s">
        <v>534</v>
      </c>
      <c r="C210" s="80"/>
      <c r="D210" s="80">
        <v>4.8</v>
      </c>
      <c r="E210" s="80">
        <v>0.2</v>
      </c>
      <c r="F210" s="80">
        <v>0.4</v>
      </c>
      <c r="G210" s="80"/>
      <c r="H210" s="101">
        <f t="shared" si="15"/>
        <v>0.38400000000000001</v>
      </c>
      <c r="I210" s="80"/>
      <c r="J210" s="80"/>
      <c r="K210" s="80"/>
      <c r="L210" s="81">
        <f t="shared" si="16"/>
        <v>0.38400000000000001</v>
      </c>
      <c r="M210" s="82"/>
    </row>
    <row r="211" spans="1:14" s="114" customFormat="1" x14ac:dyDescent="0.2">
      <c r="A211" s="108"/>
      <c r="B211" s="109" t="s">
        <v>535</v>
      </c>
      <c r="C211" s="110"/>
      <c r="D211" s="110">
        <v>4.8</v>
      </c>
      <c r="E211" s="110">
        <v>0.2</v>
      </c>
      <c r="F211" s="110">
        <v>0.4</v>
      </c>
      <c r="G211" s="110"/>
      <c r="H211" s="111">
        <f t="shared" si="15"/>
        <v>0.38400000000000001</v>
      </c>
      <c r="I211" s="110"/>
      <c r="J211" s="110"/>
      <c r="K211" s="110"/>
      <c r="L211" s="112">
        <f t="shared" si="16"/>
        <v>0.38400000000000001</v>
      </c>
      <c r="M211" s="113"/>
    </row>
    <row r="212" spans="1:14" x14ac:dyDescent="0.2">
      <c r="A212" s="79"/>
      <c r="B212" s="76" t="s">
        <v>536</v>
      </c>
      <c r="C212" s="80"/>
      <c r="D212" s="80">
        <v>4.8</v>
      </c>
      <c r="E212" s="80">
        <v>0.2</v>
      </c>
      <c r="F212" s="80">
        <v>0.4</v>
      </c>
      <c r="G212" s="80"/>
      <c r="H212" s="101">
        <f t="shared" si="15"/>
        <v>0.38400000000000001</v>
      </c>
      <c r="I212" s="80"/>
      <c r="J212" s="80"/>
      <c r="K212" s="80"/>
      <c r="L212" s="81">
        <f t="shared" si="16"/>
        <v>0.38400000000000001</v>
      </c>
      <c r="M212" s="82"/>
    </row>
    <row r="213" spans="1:14" s="114" customFormat="1" x14ac:dyDescent="0.2">
      <c r="A213" s="108"/>
      <c r="B213" s="109" t="s">
        <v>537</v>
      </c>
      <c r="C213" s="110"/>
      <c r="D213" s="110">
        <v>4.8</v>
      </c>
      <c r="E213" s="110">
        <v>0.2</v>
      </c>
      <c r="F213" s="110">
        <v>0.4</v>
      </c>
      <c r="G213" s="110"/>
      <c r="H213" s="111">
        <f t="shared" si="15"/>
        <v>0.38400000000000001</v>
      </c>
      <c r="I213" s="110"/>
      <c r="J213" s="110"/>
      <c r="K213" s="110"/>
      <c r="L213" s="112">
        <f t="shared" si="16"/>
        <v>0.38400000000000001</v>
      </c>
      <c r="M213" s="113"/>
    </row>
    <row r="214" spans="1:14" x14ac:dyDescent="0.2">
      <c r="A214" s="79"/>
      <c r="B214" s="76" t="s">
        <v>538</v>
      </c>
      <c r="C214" s="80"/>
      <c r="D214" s="80">
        <v>4.8</v>
      </c>
      <c r="E214" s="80">
        <v>0.2</v>
      </c>
      <c r="F214" s="80">
        <v>0.4</v>
      </c>
      <c r="G214" s="80"/>
      <c r="H214" s="101">
        <f t="shared" si="15"/>
        <v>0.38400000000000001</v>
      </c>
      <c r="I214" s="80"/>
      <c r="J214" s="80"/>
      <c r="K214" s="80"/>
      <c r="L214" s="81">
        <f t="shared" si="16"/>
        <v>0.38400000000000001</v>
      </c>
      <c r="M214" s="82"/>
    </row>
    <row r="215" spans="1:14" s="114" customFormat="1" x14ac:dyDescent="0.2">
      <c r="A215" s="108"/>
      <c r="B215" s="109" t="s">
        <v>539</v>
      </c>
      <c r="C215" s="110"/>
      <c r="D215" s="110">
        <v>4.7</v>
      </c>
      <c r="E215" s="110">
        <v>0.18</v>
      </c>
      <c r="F215" s="110">
        <v>0.4</v>
      </c>
      <c r="G215" s="110"/>
      <c r="H215" s="111">
        <f t="shared" si="15"/>
        <v>0.33800000000000002</v>
      </c>
      <c r="I215" s="110"/>
      <c r="J215" s="110"/>
      <c r="K215" s="110"/>
      <c r="L215" s="112">
        <f t="shared" si="16"/>
        <v>0.33800000000000002</v>
      </c>
      <c r="M215" s="113"/>
    </row>
    <row r="216" spans="1:14" x14ac:dyDescent="0.2">
      <c r="A216" s="79"/>
      <c r="B216" s="76" t="s">
        <v>540</v>
      </c>
      <c r="C216" s="80"/>
      <c r="D216" s="80">
        <v>4.5999999999999996</v>
      </c>
      <c r="E216" s="80">
        <v>0.18</v>
      </c>
      <c r="F216" s="80">
        <v>0.4</v>
      </c>
      <c r="G216" s="80"/>
      <c r="H216" s="101">
        <f t="shared" si="15"/>
        <v>0.33100000000000002</v>
      </c>
      <c r="I216" s="80"/>
      <c r="J216" s="80"/>
      <c r="K216" s="80"/>
      <c r="L216" s="81">
        <f t="shared" si="16"/>
        <v>0.33100000000000002</v>
      </c>
      <c r="M216" s="82"/>
    </row>
    <row r="217" spans="1:14" s="114" customFormat="1" x14ac:dyDescent="0.2">
      <c r="A217" s="108"/>
      <c r="B217" s="109" t="s">
        <v>541</v>
      </c>
      <c r="C217" s="110"/>
      <c r="D217" s="110">
        <v>4.5999999999999996</v>
      </c>
      <c r="E217" s="110">
        <v>0.18</v>
      </c>
      <c r="F217" s="110">
        <v>0.4</v>
      </c>
      <c r="G217" s="110"/>
      <c r="H217" s="111">
        <f t="shared" si="15"/>
        <v>0.33100000000000002</v>
      </c>
      <c r="I217" s="110"/>
      <c r="J217" s="110"/>
      <c r="K217" s="110"/>
      <c r="L217" s="112">
        <f t="shared" si="16"/>
        <v>0.33100000000000002</v>
      </c>
      <c r="M217" s="113"/>
    </row>
    <row r="218" spans="1:14" x14ac:dyDescent="0.2">
      <c r="A218" s="79"/>
      <c r="B218" s="76" t="s">
        <v>542</v>
      </c>
      <c r="C218" s="80"/>
      <c r="D218" s="80">
        <v>4.5999999999999996</v>
      </c>
      <c r="E218" s="80">
        <v>0.18</v>
      </c>
      <c r="F218" s="80">
        <v>0.4</v>
      </c>
      <c r="G218" s="80"/>
      <c r="H218" s="101">
        <f t="shared" si="15"/>
        <v>0.33100000000000002</v>
      </c>
      <c r="I218" s="80"/>
      <c r="J218" s="80"/>
      <c r="K218" s="80"/>
      <c r="L218" s="81">
        <f t="shared" si="16"/>
        <v>0.33100000000000002</v>
      </c>
      <c r="M218" s="82"/>
    </row>
    <row r="219" spans="1:14" s="114" customFormat="1" x14ac:dyDescent="0.2">
      <c r="A219" s="108"/>
      <c r="B219" s="109" t="s">
        <v>543</v>
      </c>
      <c r="C219" s="110"/>
      <c r="D219" s="110">
        <v>4.5999999999999996</v>
      </c>
      <c r="E219" s="110">
        <v>0.18</v>
      </c>
      <c r="F219" s="110">
        <v>0.4</v>
      </c>
      <c r="G219" s="110"/>
      <c r="H219" s="111">
        <f t="shared" si="15"/>
        <v>0.33100000000000002</v>
      </c>
      <c r="I219" s="110"/>
      <c r="J219" s="110"/>
      <c r="K219" s="110"/>
      <c r="L219" s="112">
        <f t="shared" si="16"/>
        <v>0.33100000000000002</v>
      </c>
      <c r="M219" s="113"/>
    </row>
    <row r="220" spans="1:14" x14ac:dyDescent="0.2">
      <c r="A220" s="79"/>
      <c r="B220" s="76" t="s">
        <v>544</v>
      </c>
      <c r="C220" s="80"/>
      <c r="D220" s="80">
        <v>4.05</v>
      </c>
      <c r="E220" s="80">
        <v>0.18</v>
      </c>
      <c r="F220" s="80">
        <v>0.4</v>
      </c>
      <c r="G220" s="80"/>
      <c r="H220" s="101">
        <f t="shared" si="15"/>
        <v>0.29099999999999998</v>
      </c>
      <c r="I220" s="80"/>
      <c r="J220" s="80"/>
      <c r="K220" s="80"/>
      <c r="L220" s="81">
        <f t="shared" si="16"/>
        <v>0.29099999999999998</v>
      </c>
      <c r="M220" s="82"/>
    </row>
    <row r="221" spans="1:14" s="114" customFormat="1" x14ac:dyDescent="0.2">
      <c r="A221" s="108"/>
      <c r="B221" s="109" t="s">
        <v>545</v>
      </c>
      <c r="C221" s="110"/>
      <c r="D221" s="110">
        <v>4.0999999999999996</v>
      </c>
      <c r="E221" s="110">
        <v>0.18</v>
      </c>
      <c r="F221" s="110">
        <v>0.4</v>
      </c>
      <c r="G221" s="110"/>
      <c r="H221" s="111">
        <f t="shared" si="15"/>
        <v>0.29499999999999998</v>
      </c>
      <c r="I221" s="110"/>
      <c r="J221" s="110"/>
      <c r="K221" s="110"/>
      <c r="L221" s="112">
        <f t="shared" si="16"/>
        <v>0.29499999999999998</v>
      </c>
      <c r="M221" s="113"/>
    </row>
    <row r="222" spans="1:14" x14ac:dyDescent="0.2">
      <c r="A222" s="90"/>
      <c r="B222" s="92" t="s">
        <v>8</v>
      </c>
      <c r="C222" s="84"/>
      <c r="D222" s="84"/>
      <c r="E222" s="84"/>
      <c r="F222" s="84"/>
      <c r="G222" s="84"/>
      <c r="H222" s="84"/>
      <c r="I222" s="84"/>
      <c r="J222" s="84"/>
      <c r="K222" s="84"/>
      <c r="L222" s="85">
        <f>SUM(L202:L221)</f>
        <v>7.0410000000000021</v>
      </c>
      <c r="M222" s="86" t="s">
        <v>36</v>
      </c>
    </row>
    <row r="223" spans="1:14" x14ac:dyDescent="0.2">
      <c r="A223" s="78"/>
      <c r="B223" s="91"/>
      <c r="C223" s="91"/>
      <c r="D223" s="91"/>
      <c r="E223" s="91"/>
      <c r="F223" s="91"/>
      <c r="G223" s="91"/>
      <c r="H223" s="91"/>
      <c r="I223" s="91"/>
      <c r="J223" s="91"/>
      <c r="K223" s="91"/>
      <c r="L223" s="320"/>
      <c r="M223" s="88"/>
      <c r="N223" s="91"/>
    </row>
    <row r="224" spans="1:14" x14ac:dyDescent="0.2">
      <c r="A224" s="74" t="s">
        <v>80</v>
      </c>
      <c r="B224" s="314" t="str">
        <f>'Planilha Orçamentária'!D38</f>
        <v>Pilares</v>
      </c>
      <c r="C224" s="315"/>
      <c r="D224" s="315"/>
      <c r="E224" s="315"/>
      <c r="F224" s="315"/>
      <c r="G224" s="315"/>
      <c r="H224" s="315"/>
      <c r="I224" s="315"/>
      <c r="J224" s="315"/>
      <c r="K224" s="315"/>
      <c r="L224" s="98"/>
      <c r="M224" s="75"/>
    </row>
    <row r="225" spans="1:13" x14ac:dyDescent="0.2">
      <c r="A225" s="77" t="s">
        <v>82</v>
      </c>
      <c r="B225" s="425" t="str">
        <f>'Planilha Orçamentária'!D39</f>
        <v>Fôrma de chapa compensada resinada 12mm, levando-se em conta a utilização 3 vezes (incluido o material, corte, montagem, escoramento e desfôrma)</v>
      </c>
      <c r="C225" s="426"/>
      <c r="D225" s="426"/>
      <c r="E225" s="426"/>
      <c r="F225" s="426"/>
      <c r="G225" s="426"/>
      <c r="H225" s="426"/>
      <c r="I225" s="426"/>
      <c r="J225" s="426"/>
      <c r="K225" s="426"/>
      <c r="L225" s="427"/>
      <c r="M225" s="78"/>
    </row>
    <row r="226" spans="1:13" x14ac:dyDescent="0.2">
      <c r="A226" s="79"/>
      <c r="B226" s="76" t="s">
        <v>586</v>
      </c>
      <c r="C226" s="80">
        <v>1</v>
      </c>
      <c r="D226" s="80">
        <v>0.5</v>
      </c>
      <c r="E226" s="80">
        <v>0.2</v>
      </c>
      <c r="F226" s="80">
        <v>0.5</v>
      </c>
      <c r="G226" s="80">
        <f>(D226*F226*2)+(E226*F226*2)</f>
        <v>0.7</v>
      </c>
      <c r="H226" s="80"/>
      <c r="I226" s="80"/>
      <c r="J226" s="80"/>
      <c r="K226" s="80"/>
      <c r="L226" s="81">
        <f t="shared" ref="L226:L231" si="17">G226*C226</f>
        <v>0.7</v>
      </c>
      <c r="M226" s="82"/>
    </row>
    <row r="227" spans="1:13" s="114" customFormat="1" x14ac:dyDescent="0.2">
      <c r="A227" s="108"/>
      <c r="B227" s="109" t="s">
        <v>587</v>
      </c>
      <c r="C227" s="110">
        <v>1</v>
      </c>
      <c r="D227" s="110">
        <v>0.5</v>
      </c>
      <c r="E227" s="110">
        <v>0.2</v>
      </c>
      <c r="F227" s="110">
        <v>0.89</v>
      </c>
      <c r="G227" s="110">
        <f>(D227*F227*2)+(E227*F227*2)</f>
        <v>1.246</v>
      </c>
      <c r="H227" s="110"/>
      <c r="I227" s="110"/>
      <c r="J227" s="110"/>
      <c r="K227" s="110"/>
      <c r="L227" s="112">
        <f t="shared" si="17"/>
        <v>1.246</v>
      </c>
      <c r="M227" s="113"/>
    </row>
    <row r="228" spans="1:13" x14ac:dyDescent="0.2">
      <c r="A228" s="79"/>
      <c r="B228" s="76" t="s">
        <v>588</v>
      </c>
      <c r="C228" s="80">
        <v>1</v>
      </c>
      <c r="D228" s="80">
        <v>0.5</v>
      </c>
      <c r="E228" s="80">
        <v>0.2</v>
      </c>
      <c r="F228" s="80">
        <v>1.28</v>
      </c>
      <c r="G228" s="80">
        <f>(D228*F228*2)+(E228*F228*2)</f>
        <v>1.792</v>
      </c>
      <c r="H228" s="80"/>
      <c r="I228" s="80"/>
      <c r="J228" s="80"/>
      <c r="K228" s="80"/>
      <c r="L228" s="81">
        <f t="shared" si="17"/>
        <v>1.792</v>
      </c>
      <c r="M228" s="82"/>
    </row>
    <row r="229" spans="1:13" s="114" customFormat="1" x14ac:dyDescent="0.2">
      <c r="A229" s="108"/>
      <c r="B229" s="109" t="s">
        <v>589</v>
      </c>
      <c r="C229" s="110">
        <v>1</v>
      </c>
      <c r="D229" s="110">
        <v>0.5</v>
      </c>
      <c r="E229" s="110">
        <v>0.2</v>
      </c>
      <c r="F229" s="110">
        <v>1.67</v>
      </c>
      <c r="G229" s="110">
        <f t="shared" ref="G229:G235" si="18">(D229*F229*2)+(E229*F229*2)</f>
        <v>2.3380000000000001</v>
      </c>
      <c r="H229" s="110"/>
      <c r="I229" s="110"/>
      <c r="J229" s="110"/>
      <c r="K229" s="110"/>
      <c r="L229" s="112">
        <f t="shared" si="17"/>
        <v>2.3380000000000001</v>
      </c>
      <c r="M229" s="113"/>
    </row>
    <row r="230" spans="1:13" x14ac:dyDescent="0.2">
      <c r="A230" s="79"/>
      <c r="B230" s="76" t="s">
        <v>590</v>
      </c>
      <c r="C230" s="80">
        <v>1</v>
      </c>
      <c r="D230" s="80">
        <v>0.5</v>
      </c>
      <c r="E230" s="80">
        <v>0.2</v>
      </c>
      <c r="F230" s="80">
        <v>2.0699999999999998</v>
      </c>
      <c r="G230" s="80">
        <f t="shared" si="18"/>
        <v>2.8979999999999997</v>
      </c>
      <c r="H230" s="80"/>
      <c r="I230" s="80"/>
      <c r="J230" s="80"/>
      <c r="K230" s="80"/>
      <c r="L230" s="81">
        <f t="shared" si="17"/>
        <v>2.8979999999999997</v>
      </c>
      <c r="M230" s="82"/>
    </row>
    <row r="231" spans="1:13" s="114" customFormat="1" x14ac:dyDescent="0.2">
      <c r="A231" s="108"/>
      <c r="B231" s="109" t="s">
        <v>591</v>
      </c>
      <c r="C231" s="110">
        <v>1</v>
      </c>
      <c r="D231" s="110">
        <v>0.5</v>
      </c>
      <c r="E231" s="110">
        <v>0.2</v>
      </c>
      <c r="F231" s="110">
        <v>2.5</v>
      </c>
      <c r="G231" s="110">
        <f t="shared" si="18"/>
        <v>3.5</v>
      </c>
      <c r="H231" s="110"/>
      <c r="I231" s="110"/>
      <c r="J231" s="110"/>
      <c r="K231" s="110"/>
      <c r="L231" s="112">
        <f t="shared" si="17"/>
        <v>3.5</v>
      </c>
      <c r="M231" s="113"/>
    </row>
    <row r="232" spans="1:13" x14ac:dyDescent="0.2">
      <c r="A232" s="79"/>
      <c r="B232" s="76" t="s">
        <v>592</v>
      </c>
      <c r="C232" s="80">
        <v>6</v>
      </c>
      <c r="D232" s="80">
        <v>0.4</v>
      </c>
      <c r="E232" s="80">
        <v>0.18</v>
      </c>
      <c r="F232" s="80">
        <v>0.5</v>
      </c>
      <c r="G232" s="80">
        <f>(D232*F232*2)+(E232*F232*2)</f>
        <v>0.58000000000000007</v>
      </c>
      <c r="H232" s="80"/>
      <c r="I232" s="80"/>
      <c r="J232" s="80"/>
      <c r="K232" s="80"/>
      <c r="L232" s="81">
        <f>G232*C232</f>
        <v>3.4800000000000004</v>
      </c>
      <c r="M232" s="82"/>
    </row>
    <row r="233" spans="1:13" s="114" customFormat="1" x14ac:dyDescent="0.2">
      <c r="A233" s="108"/>
      <c r="B233" s="109" t="s">
        <v>593</v>
      </c>
      <c r="C233" s="110">
        <v>2</v>
      </c>
      <c r="D233" s="110">
        <v>0.4</v>
      </c>
      <c r="E233" s="110">
        <v>0.18</v>
      </c>
      <c r="F233" s="110">
        <v>1.75</v>
      </c>
      <c r="G233" s="110">
        <f t="shared" si="18"/>
        <v>2.0300000000000002</v>
      </c>
      <c r="H233" s="110"/>
      <c r="I233" s="110"/>
      <c r="J233" s="110"/>
      <c r="K233" s="110"/>
      <c r="L233" s="112">
        <f t="shared" ref="L233:L235" si="19">G233*C233</f>
        <v>4.0600000000000005</v>
      </c>
      <c r="M233" s="113"/>
    </row>
    <row r="234" spans="1:13" x14ac:dyDescent="0.2">
      <c r="A234" s="79"/>
      <c r="B234" s="76" t="s">
        <v>594</v>
      </c>
      <c r="C234" s="80">
        <v>1</v>
      </c>
      <c r="D234" s="80">
        <v>0.5</v>
      </c>
      <c r="E234" s="80">
        <v>0.2</v>
      </c>
      <c r="F234" s="80">
        <v>1.75</v>
      </c>
      <c r="G234" s="80">
        <f t="shared" si="18"/>
        <v>2.4500000000000002</v>
      </c>
      <c r="H234" s="80"/>
      <c r="I234" s="80"/>
      <c r="J234" s="80"/>
      <c r="K234" s="80"/>
      <c r="L234" s="81">
        <f t="shared" si="19"/>
        <v>2.4500000000000002</v>
      </c>
      <c r="M234" s="82"/>
    </row>
    <row r="235" spans="1:13" s="114" customFormat="1" x14ac:dyDescent="0.2">
      <c r="A235" s="108"/>
      <c r="B235" s="109" t="s">
        <v>595</v>
      </c>
      <c r="C235" s="110">
        <v>6</v>
      </c>
      <c r="D235" s="110">
        <v>0.5</v>
      </c>
      <c r="E235" s="110">
        <v>0.2</v>
      </c>
      <c r="F235" s="110">
        <v>1.25</v>
      </c>
      <c r="G235" s="110">
        <f t="shared" si="18"/>
        <v>1.75</v>
      </c>
      <c r="H235" s="110"/>
      <c r="I235" s="110"/>
      <c r="J235" s="110"/>
      <c r="K235" s="110"/>
      <c r="L235" s="112">
        <f t="shared" si="19"/>
        <v>10.5</v>
      </c>
      <c r="M235" s="113"/>
    </row>
    <row r="236" spans="1:13" x14ac:dyDescent="0.2">
      <c r="A236" s="79"/>
      <c r="B236" s="83" t="s">
        <v>8</v>
      </c>
      <c r="C236" s="84"/>
      <c r="D236" s="84"/>
      <c r="E236" s="84"/>
      <c r="F236" s="84"/>
      <c r="G236" s="84"/>
      <c r="H236" s="84"/>
      <c r="I236" s="84"/>
      <c r="J236" s="84"/>
      <c r="K236" s="84"/>
      <c r="L236" s="85">
        <f>SUM(L226:L235)</f>
        <v>32.963999999999999</v>
      </c>
      <c r="M236" s="86" t="s">
        <v>18</v>
      </c>
    </row>
    <row r="237" spans="1:13" x14ac:dyDescent="0.2">
      <c r="A237" s="78"/>
      <c r="B237" s="91"/>
      <c r="C237" s="91"/>
      <c r="D237" s="91"/>
      <c r="E237" s="91"/>
      <c r="F237" s="91"/>
      <c r="G237" s="91"/>
      <c r="H237" s="91"/>
      <c r="I237" s="91"/>
      <c r="J237" s="91"/>
      <c r="K237" s="91"/>
      <c r="L237" s="87"/>
      <c r="M237" s="88"/>
    </row>
    <row r="238" spans="1:13" x14ac:dyDescent="0.2">
      <c r="A238" s="89" t="s">
        <v>83</v>
      </c>
      <c r="B238" s="405" t="str">
        <f>'Planilha Orçamentária'!D40</f>
        <v>Fornecimento, dobragem e colocação em fôrma, de armadura CA-50 A média, diâmetro de 6.3 a 10.0 mm</v>
      </c>
      <c r="C238" s="405"/>
      <c r="D238" s="405"/>
      <c r="E238" s="405"/>
      <c r="F238" s="405"/>
      <c r="G238" s="405"/>
      <c r="H238" s="405"/>
      <c r="I238" s="405"/>
      <c r="J238" s="405"/>
      <c r="K238" s="405"/>
      <c r="L238" s="406"/>
      <c r="M238" s="78"/>
    </row>
    <row r="239" spans="1:13" x14ac:dyDescent="0.2">
      <c r="A239" s="79"/>
      <c r="B239" s="76" t="s">
        <v>596</v>
      </c>
      <c r="C239" s="80">
        <v>4</v>
      </c>
      <c r="D239" s="80">
        <v>0.47</v>
      </c>
      <c r="E239" s="80"/>
      <c r="F239" s="80"/>
      <c r="G239" s="80"/>
      <c r="H239" s="80"/>
      <c r="I239" s="101">
        <v>0.61699999999999999</v>
      </c>
      <c r="J239" s="80">
        <f>I239*D239</f>
        <v>0.28998999999999997</v>
      </c>
      <c r="K239" s="80"/>
      <c r="L239" s="81">
        <f>J239*C239</f>
        <v>1.1599599999999999</v>
      </c>
      <c r="M239" s="82"/>
    </row>
    <row r="240" spans="1:13" x14ac:dyDescent="0.2">
      <c r="A240" s="79"/>
      <c r="B240" s="76" t="s">
        <v>627</v>
      </c>
      <c r="C240" s="80">
        <v>2</v>
      </c>
      <c r="D240" s="80">
        <v>0.77</v>
      </c>
      <c r="E240" s="80"/>
      <c r="F240" s="80"/>
      <c r="G240" s="80"/>
      <c r="H240" s="80"/>
      <c r="I240" s="101">
        <v>0.61699999999999999</v>
      </c>
      <c r="J240" s="80">
        <f>I240*D240</f>
        <v>0.47509000000000001</v>
      </c>
      <c r="K240" s="80"/>
      <c r="L240" s="81">
        <f>J240*C240</f>
        <v>0.95018000000000002</v>
      </c>
      <c r="M240" s="82"/>
    </row>
    <row r="241" spans="1:20" x14ac:dyDescent="0.2">
      <c r="A241" s="79"/>
      <c r="B241" s="76" t="s">
        <v>597</v>
      </c>
      <c r="C241" s="80">
        <v>3</v>
      </c>
      <c r="D241" s="80">
        <v>1.32</v>
      </c>
      <c r="E241" s="80"/>
      <c r="F241" s="80"/>
      <c r="G241" s="80"/>
      <c r="H241" s="80"/>
      <c r="I241" s="101">
        <v>0.245</v>
      </c>
      <c r="J241" s="80">
        <f>I241*D241</f>
        <v>0.32340000000000002</v>
      </c>
      <c r="K241" s="80"/>
      <c r="L241" s="81">
        <f>J241*C241</f>
        <v>0.97020000000000006</v>
      </c>
      <c r="M241" s="82"/>
    </row>
    <row r="242" spans="1:20" x14ac:dyDescent="0.2">
      <c r="A242" s="79"/>
      <c r="B242" s="76" t="s">
        <v>601</v>
      </c>
      <c r="C242" s="80">
        <v>3</v>
      </c>
      <c r="D242" s="80">
        <v>0.22</v>
      </c>
      <c r="E242" s="80"/>
      <c r="F242" s="80"/>
      <c r="G242" s="80"/>
      <c r="H242" s="80"/>
      <c r="I242" s="101">
        <v>0.245</v>
      </c>
      <c r="J242" s="80">
        <f t="shared" ref="J242:J274" si="20">I242*D242</f>
        <v>5.3899999999999997E-2</v>
      </c>
      <c r="K242" s="80"/>
      <c r="L242" s="81">
        <f t="shared" ref="L242:L262" si="21">J242*C242</f>
        <v>0.16169999999999998</v>
      </c>
      <c r="M242" s="82"/>
    </row>
    <row r="243" spans="1:20" s="114" customFormat="1" x14ac:dyDescent="0.2">
      <c r="A243" s="108"/>
      <c r="B243" s="109" t="s">
        <v>598</v>
      </c>
      <c r="C243" s="110">
        <v>4</v>
      </c>
      <c r="D243" s="110">
        <v>1.03</v>
      </c>
      <c r="E243" s="110"/>
      <c r="F243" s="110"/>
      <c r="G243" s="110"/>
      <c r="H243" s="110"/>
      <c r="I243" s="111">
        <v>0.61699999999999999</v>
      </c>
      <c r="J243" s="110">
        <f t="shared" si="20"/>
        <v>0.63551000000000002</v>
      </c>
      <c r="K243" s="110"/>
      <c r="L243" s="112">
        <f t="shared" si="21"/>
        <v>2.5420400000000001</v>
      </c>
      <c r="M243" s="113"/>
      <c r="P243" s="65"/>
      <c r="Q243" s="65"/>
      <c r="R243" s="65"/>
      <c r="S243" s="65"/>
      <c r="T243" s="65"/>
    </row>
    <row r="244" spans="1:20" s="114" customFormat="1" x14ac:dyDescent="0.2">
      <c r="A244" s="108"/>
      <c r="B244" s="109" t="s">
        <v>626</v>
      </c>
      <c r="C244" s="110">
        <v>2</v>
      </c>
      <c r="D244" s="110">
        <v>1.1499999999999999</v>
      </c>
      <c r="E244" s="110"/>
      <c r="F244" s="110"/>
      <c r="G244" s="110"/>
      <c r="H244" s="110"/>
      <c r="I244" s="111">
        <v>0.61699999999999999</v>
      </c>
      <c r="J244" s="110">
        <f t="shared" si="20"/>
        <v>0.7095499999999999</v>
      </c>
      <c r="K244" s="110"/>
      <c r="L244" s="112">
        <f t="shared" si="21"/>
        <v>1.4190999999999998</v>
      </c>
      <c r="M244" s="113"/>
      <c r="P244" s="65"/>
      <c r="Q244" s="65"/>
      <c r="R244" s="65"/>
      <c r="S244" s="65"/>
      <c r="T244" s="65"/>
    </row>
    <row r="245" spans="1:20" s="114" customFormat="1" x14ac:dyDescent="0.2">
      <c r="A245" s="108"/>
      <c r="B245" s="109" t="s">
        <v>600</v>
      </c>
      <c r="C245" s="110">
        <v>6</v>
      </c>
      <c r="D245" s="110">
        <v>1.32</v>
      </c>
      <c r="E245" s="110"/>
      <c r="F245" s="110"/>
      <c r="G245" s="110"/>
      <c r="H245" s="110"/>
      <c r="I245" s="111">
        <v>0.245</v>
      </c>
      <c r="J245" s="110">
        <f t="shared" si="20"/>
        <v>0.32340000000000002</v>
      </c>
      <c r="K245" s="110"/>
      <c r="L245" s="112">
        <f t="shared" si="21"/>
        <v>1.9404000000000001</v>
      </c>
      <c r="M245" s="113"/>
      <c r="P245" s="65"/>
      <c r="Q245" s="65"/>
      <c r="R245" s="65"/>
      <c r="S245" s="65"/>
      <c r="T245" s="65"/>
    </row>
    <row r="246" spans="1:20" s="114" customFormat="1" x14ac:dyDescent="0.2">
      <c r="A246" s="108"/>
      <c r="B246" s="109" t="s">
        <v>602</v>
      </c>
      <c r="C246" s="110">
        <v>6</v>
      </c>
      <c r="D246" s="110">
        <v>0.22</v>
      </c>
      <c r="E246" s="110"/>
      <c r="F246" s="110"/>
      <c r="G246" s="110"/>
      <c r="H246" s="110"/>
      <c r="I246" s="111">
        <v>0.245</v>
      </c>
      <c r="J246" s="110">
        <f t="shared" si="20"/>
        <v>5.3899999999999997E-2</v>
      </c>
      <c r="K246" s="110"/>
      <c r="L246" s="112">
        <f t="shared" si="21"/>
        <v>0.32339999999999997</v>
      </c>
      <c r="M246" s="113"/>
      <c r="P246" s="65"/>
      <c r="Q246" s="65"/>
      <c r="R246" s="65"/>
      <c r="S246" s="65"/>
      <c r="T246" s="65"/>
    </row>
    <row r="247" spans="1:20" x14ac:dyDescent="0.2">
      <c r="A247" s="79"/>
      <c r="B247" s="76" t="s">
        <v>599</v>
      </c>
      <c r="C247" s="80">
        <v>4</v>
      </c>
      <c r="D247" s="80">
        <v>1.43</v>
      </c>
      <c r="E247" s="80"/>
      <c r="F247" s="80"/>
      <c r="G247" s="80"/>
      <c r="H247" s="80"/>
      <c r="I247" s="101">
        <v>0.61699999999999999</v>
      </c>
      <c r="J247" s="80">
        <f t="shared" si="20"/>
        <v>0.88230999999999993</v>
      </c>
      <c r="K247" s="80"/>
      <c r="L247" s="81">
        <f t="shared" si="21"/>
        <v>3.5292399999999997</v>
      </c>
      <c r="M247" s="82"/>
    </row>
    <row r="248" spans="1:20" x14ac:dyDescent="0.2">
      <c r="A248" s="79"/>
      <c r="B248" s="76" t="s">
        <v>625</v>
      </c>
      <c r="C248" s="80">
        <v>2</v>
      </c>
      <c r="D248" s="80">
        <v>1.53</v>
      </c>
      <c r="E248" s="80"/>
      <c r="F248" s="80"/>
      <c r="G248" s="80"/>
      <c r="H248" s="80"/>
      <c r="I248" s="101">
        <v>0.61699999999999999</v>
      </c>
      <c r="J248" s="80">
        <f t="shared" si="20"/>
        <v>0.94401000000000002</v>
      </c>
      <c r="K248" s="80"/>
      <c r="L248" s="81">
        <f t="shared" si="21"/>
        <v>1.88802</v>
      </c>
      <c r="M248" s="82"/>
    </row>
    <row r="249" spans="1:20" x14ac:dyDescent="0.2">
      <c r="A249" s="79"/>
      <c r="B249" s="76" t="s">
        <v>603</v>
      </c>
      <c r="C249" s="80">
        <v>8</v>
      </c>
      <c r="D249" s="80">
        <v>1.32</v>
      </c>
      <c r="E249" s="80"/>
      <c r="F249" s="80"/>
      <c r="G249" s="80"/>
      <c r="H249" s="80"/>
      <c r="I249" s="101">
        <v>0.245</v>
      </c>
      <c r="J249" s="80">
        <f t="shared" si="20"/>
        <v>0.32340000000000002</v>
      </c>
      <c r="K249" s="80"/>
      <c r="L249" s="81">
        <f t="shared" si="21"/>
        <v>2.5872000000000002</v>
      </c>
      <c r="M249" s="82"/>
    </row>
    <row r="250" spans="1:20" x14ac:dyDescent="0.2">
      <c r="A250" s="79"/>
      <c r="B250" s="76" t="s">
        <v>604</v>
      </c>
      <c r="C250" s="80">
        <v>8</v>
      </c>
      <c r="D250" s="80">
        <v>0.22</v>
      </c>
      <c r="E250" s="80"/>
      <c r="F250" s="80"/>
      <c r="G250" s="80"/>
      <c r="H250" s="80"/>
      <c r="I250" s="101">
        <v>0.245</v>
      </c>
      <c r="J250" s="80">
        <f>I250*D250</f>
        <v>5.3899999999999997E-2</v>
      </c>
      <c r="K250" s="80"/>
      <c r="L250" s="81">
        <f>J250*C250</f>
        <v>0.43119999999999997</v>
      </c>
      <c r="M250" s="82"/>
    </row>
    <row r="251" spans="1:20" s="114" customFormat="1" x14ac:dyDescent="0.2">
      <c r="A251" s="108"/>
      <c r="B251" s="109" t="s">
        <v>605</v>
      </c>
      <c r="C251" s="110">
        <v>4</v>
      </c>
      <c r="D251" s="110">
        <v>1.82</v>
      </c>
      <c r="E251" s="110"/>
      <c r="F251" s="110"/>
      <c r="G251" s="110"/>
      <c r="H251" s="110"/>
      <c r="I251" s="111">
        <v>0.61699999999999999</v>
      </c>
      <c r="J251" s="110">
        <f t="shared" si="20"/>
        <v>1.12294</v>
      </c>
      <c r="K251" s="110"/>
      <c r="L251" s="112">
        <f t="shared" si="21"/>
        <v>4.4917600000000002</v>
      </c>
      <c r="M251" s="113"/>
      <c r="P251" s="65"/>
      <c r="Q251" s="65"/>
      <c r="R251" s="65"/>
      <c r="S251" s="65"/>
      <c r="T251" s="65"/>
    </row>
    <row r="252" spans="1:20" s="114" customFormat="1" x14ac:dyDescent="0.2">
      <c r="A252" s="108"/>
      <c r="B252" s="109" t="s">
        <v>624</v>
      </c>
      <c r="C252" s="110">
        <v>2</v>
      </c>
      <c r="D252" s="110">
        <v>1.94</v>
      </c>
      <c r="E252" s="110"/>
      <c r="F252" s="110"/>
      <c r="G252" s="110"/>
      <c r="H252" s="110"/>
      <c r="I252" s="111">
        <v>0.61699999999999999</v>
      </c>
      <c r="J252" s="110">
        <f t="shared" si="20"/>
        <v>1.1969799999999999</v>
      </c>
      <c r="K252" s="110"/>
      <c r="L252" s="112">
        <f t="shared" si="21"/>
        <v>2.3939599999999999</v>
      </c>
      <c r="M252" s="113"/>
      <c r="P252" s="65"/>
      <c r="Q252" s="65"/>
      <c r="R252" s="65"/>
      <c r="S252" s="65"/>
      <c r="T252" s="65"/>
    </row>
    <row r="253" spans="1:20" s="114" customFormat="1" x14ac:dyDescent="0.2">
      <c r="A253" s="108"/>
      <c r="B253" s="109" t="s">
        <v>606</v>
      </c>
      <c r="C253" s="110">
        <v>11</v>
      </c>
      <c r="D253" s="110">
        <v>1.32</v>
      </c>
      <c r="E253" s="110"/>
      <c r="F253" s="110"/>
      <c r="G253" s="110"/>
      <c r="H253" s="110"/>
      <c r="I253" s="111">
        <v>0.245</v>
      </c>
      <c r="J253" s="110">
        <f t="shared" si="20"/>
        <v>0.32340000000000002</v>
      </c>
      <c r="K253" s="110"/>
      <c r="L253" s="112">
        <f t="shared" si="21"/>
        <v>3.5574000000000003</v>
      </c>
      <c r="M253" s="113"/>
      <c r="P253" s="65"/>
      <c r="Q253" s="65"/>
      <c r="R253" s="65"/>
      <c r="S253" s="65"/>
      <c r="T253" s="65"/>
    </row>
    <row r="254" spans="1:20" s="114" customFormat="1" x14ac:dyDescent="0.2">
      <c r="A254" s="108"/>
      <c r="B254" s="109" t="s">
        <v>607</v>
      </c>
      <c r="C254" s="110">
        <v>11</v>
      </c>
      <c r="D254" s="110">
        <v>0.22</v>
      </c>
      <c r="E254" s="110"/>
      <c r="F254" s="110"/>
      <c r="G254" s="110"/>
      <c r="H254" s="110"/>
      <c r="I254" s="111">
        <v>0.245</v>
      </c>
      <c r="J254" s="110">
        <f t="shared" si="20"/>
        <v>5.3899999999999997E-2</v>
      </c>
      <c r="K254" s="110"/>
      <c r="L254" s="112">
        <f t="shared" si="21"/>
        <v>0.59289999999999998</v>
      </c>
      <c r="M254" s="113"/>
      <c r="P254" s="65"/>
      <c r="Q254" s="65"/>
      <c r="R254" s="65"/>
      <c r="S254" s="65"/>
      <c r="T254" s="65"/>
    </row>
    <row r="255" spans="1:20" x14ac:dyDescent="0.2">
      <c r="A255" s="79"/>
      <c r="B255" s="76" t="s">
        <v>608</v>
      </c>
      <c r="C255" s="80">
        <v>4</v>
      </c>
      <c r="D255" s="80">
        <v>2.21</v>
      </c>
      <c r="E255" s="80"/>
      <c r="F255" s="80"/>
      <c r="G255" s="80"/>
      <c r="H255" s="80"/>
      <c r="I255" s="101">
        <v>0.61699999999999999</v>
      </c>
      <c r="J255" s="80">
        <f t="shared" si="20"/>
        <v>1.3635699999999999</v>
      </c>
      <c r="K255" s="80"/>
      <c r="L255" s="81">
        <f t="shared" si="21"/>
        <v>5.4542799999999998</v>
      </c>
      <c r="M255" s="82"/>
    </row>
    <row r="256" spans="1:20" x14ac:dyDescent="0.2">
      <c r="A256" s="79"/>
      <c r="B256" s="76" t="s">
        <v>623</v>
      </c>
      <c r="C256" s="80">
        <v>2</v>
      </c>
      <c r="D256" s="80">
        <v>2.33</v>
      </c>
      <c r="E256" s="80"/>
      <c r="F256" s="80"/>
      <c r="G256" s="80"/>
      <c r="H256" s="80"/>
      <c r="I256" s="101">
        <v>0.61699999999999999</v>
      </c>
      <c r="J256" s="80">
        <f t="shared" si="20"/>
        <v>1.4376100000000001</v>
      </c>
      <c r="K256" s="80"/>
      <c r="L256" s="81">
        <f t="shared" si="21"/>
        <v>2.8752200000000001</v>
      </c>
      <c r="M256" s="82"/>
    </row>
    <row r="257" spans="1:20" x14ac:dyDescent="0.2">
      <c r="A257" s="79"/>
      <c r="B257" s="76" t="s">
        <v>609</v>
      </c>
      <c r="C257" s="80">
        <v>14</v>
      </c>
      <c r="D257" s="80">
        <v>1.32</v>
      </c>
      <c r="E257" s="80"/>
      <c r="F257" s="80"/>
      <c r="G257" s="80"/>
      <c r="H257" s="80"/>
      <c r="I257" s="101">
        <v>0.245</v>
      </c>
      <c r="J257" s="80">
        <f t="shared" si="20"/>
        <v>0.32340000000000002</v>
      </c>
      <c r="K257" s="80"/>
      <c r="L257" s="81">
        <f t="shared" si="21"/>
        <v>4.5276000000000005</v>
      </c>
      <c r="M257" s="82"/>
    </row>
    <row r="258" spans="1:20" x14ac:dyDescent="0.2">
      <c r="A258" s="79"/>
      <c r="B258" s="76" t="s">
        <v>610</v>
      </c>
      <c r="C258" s="80">
        <v>14</v>
      </c>
      <c r="D258" s="80">
        <v>0.22</v>
      </c>
      <c r="E258" s="80"/>
      <c r="F258" s="80"/>
      <c r="G258" s="80"/>
      <c r="H258" s="80"/>
      <c r="I258" s="101">
        <v>0.245</v>
      </c>
      <c r="J258" s="80">
        <f t="shared" si="20"/>
        <v>5.3899999999999997E-2</v>
      </c>
      <c r="K258" s="80"/>
      <c r="L258" s="81">
        <f t="shared" si="21"/>
        <v>0.75459999999999994</v>
      </c>
      <c r="M258" s="82"/>
    </row>
    <row r="259" spans="1:20" s="114" customFormat="1" x14ac:dyDescent="0.2">
      <c r="A259" s="108"/>
      <c r="B259" s="109" t="s">
        <v>611</v>
      </c>
      <c r="C259" s="110">
        <v>4</v>
      </c>
      <c r="D259" s="110">
        <v>2.65</v>
      </c>
      <c r="E259" s="110"/>
      <c r="F259" s="110"/>
      <c r="G259" s="110"/>
      <c r="H259" s="110"/>
      <c r="I259" s="111">
        <v>0.61699999999999999</v>
      </c>
      <c r="J259" s="110">
        <f t="shared" si="20"/>
        <v>1.6350499999999999</v>
      </c>
      <c r="K259" s="110"/>
      <c r="L259" s="112">
        <f t="shared" si="21"/>
        <v>6.5401999999999996</v>
      </c>
      <c r="M259" s="113"/>
      <c r="P259" s="65"/>
      <c r="Q259" s="65"/>
      <c r="R259" s="65"/>
      <c r="S259" s="65"/>
      <c r="T259" s="65"/>
    </row>
    <row r="260" spans="1:20" s="114" customFormat="1" x14ac:dyDescent="0.2">
      <c r="A260" s="108"/>
      <c r="B260" s="109" t="s">
        <v>622</v>
      </c>
      <c r="C260" s="110">
        <v>2</v>
      </c>
      <c r="D260" s="110">
        <v>2.77</v>
      </c>
      <c r="E260" s="110"/>
      <c r="F260" s="110"/>
      <c r="G260" s="110"/>
      <c r="H260" s="110"/>
      <c r="I260" s="111">
        <v>0.61699999999999999</v>
      </c>
      <c r="J260" s="110">
        <f t="shared" si="20"/>
        <v>1.70909</v>
      </c>
      <c r="K260" s="110"/>
      <c r="L260" s="112">
        <f t="shared" si="21"/>
        <v>3.41818</v>
      </c>
      <c r="M260" s="113"/>
      <c r="P260" s="65"/>
      <c r="Q260" s="65"/>
      <c r="R260" s="65"/>
      <c r="S260" s="65"/>
      <c r="T260" s="65"/>
    </row>
    <row r="261" spans="1:20" s="114" customFormat="1" x14ac:dyDescent="0.2">
      <c r="A261" s="108"/>
      <c r="B261" s="109" t="s">
        <v>612</v>
      </c>
      <c r="C261" s="110">
        <v>17</v>
      </c>
      <c r="D261" s="110">
        <v>1.32</v>
      </c>
      <c r="E261" s="110"/>
      <c r="F261" s="110"/>
      <c r="G261" s="110"/>
      <c r="H261" s="110"/>
      <c r="I261" s="111">
        <v>0.245</v>
      </c>
      <c r="J261" s="110">
        <f t="shared" si="20"/>
        <v>0.32340000000000002</v>
      </c>
      <c r="K261" s="110"/>
      <c r="L261" s="112">
        <f t="shared" si="21"/>
        <v>5.4978000000000007</v>
      </c>
      <c r="M261" s="113"/>
      <c r="P261" s="65"/>
      <c r="Q261" s="65"/>
      <c r="R261" s="65"/>
      <c r="S261" s="65"/>
      <c r="T261" s="65"/>
    </row>
    <row r="262" spans="1:20" s="114" customFormat="1" x14ac:dyDescent="0.2">
      <c r="A262" s="108"/>
      <c r="B262" s="109" t="s">
        <v>613</v>
      </c>
      <c r="C262" s="110">
        <v>17</v>
      </c>
      <c r="D262" s="110">
        <v>0.22</v>
      </c>
      <c r="E262" s="110"/>
      <c r="F262" s="110"/>
      <c r="G262" s="110"/>
      <c r="H262" s="110"/>
      <c r="I262" s="111">
        <v>0.245</v>
      </c>
      <c r="J262" s="110">
        <f t="shared" si="20"/>
        <v>5.3899999999999997E-2</v>
      </c>
      <c r="K262" s="110"/>
      <c r="L262" s="112">
        <f t="shared" si="21"/>
        <v>0.91629999999999989</v>
      </c>
      <c r="M262" s="113"/>
      <c r="P262" s="65"/>
      <c r="Q262" s="65"/>
      <c r="R262" s="65"/>
      <c r="S262" s="65"/>
      <c r="T262" s="65"/>
    </row>
    <row r="263" spans="1:20" x14ac:dyDescent="0.2">
      <c r="A263" s="79"/>
      <c r="B263" s="76" t="s">
        <v>614</v>
      </c>
      <c r="C263" s="80">
        <v>4</v>
      </c>
      <c r="D263" s="80">
        <v>0.47</v>
      </c>
      <c r="E263" s="80"/>
      <c r="F263" s="80"/>
      <c r="G263" s="80"/>
      <c r="H263" s="80"/>
      <c r="I263" s="101">
        <v>0.61699999999999999</v>
      </c>
      <c r="J263" s="80">
        <f t="shared" si="20"/>
        <v>0.28998999999999997</v>
      </c>
      <c r="K263" s="80"/>
      <c r="L263" s="81">
        <f>J263*C263*6</f>
        <v>6.9597599999999993</v>
      </c>
      <c r="M263" s="82"/>
    </row>
    <row r="264" spans="1:20" x14ac:dyDescent="0.2">
      <c r="A264" s="79"/>
      <c r="B264" s="76" t="s">
        <v>617</v>
      </c>
      <c r="C264" s="80">
        <v>3</v>
      </c>
      <c r="D264" s="80">
        <v>1.08</v>
      </c>
      <c r="E264" s="80"/>
      <c r="F264" s="80"/>
      <c r="G264" s="80"/>
      <c r="H264" s="80"/>
      <c r="I264" s="101">
        <v>0.245</v>
      </c>
      <c r="J264" s="80">
        <f t="shared" si="20"/>
        <v>0.2646</v>
      </c>
      <c r="K264" s="80"/>
      <c r="L264" s="81">
        <f>J264*C264*6</f>
        <v>4.7628000000000004</v>
      </c>
      <c r="M264" s="82"/>
    </row>
    <row r="265" spans="1:20" s="114" customFormat="1" x14ac:dyDescent="0.2">
      <c r="A265" s="108"/>
      <c r="B265" s="109" t="s">
        <v>615</v>
      </c>
      <c r="C265" s="110">
        <v>4</v>
      </c>
      <c r="D265" s="110">
        <v>1.72</v>
      </c>
      <c r="E265" s="110"/>
      <c r="F265" s="110"/>
      <c r="G265" s="110"/>
      <c r="H265" s="110"/>
      <c r="I265" s="111">
        <v>0.61699999999999999</v>
      </c>
      <c r="J265" s="110">
        <f t="shared" si="20"/>
        <v>1.06124</v>
      </c>
      <c r="K265" s="110"/>
      <c r="L265" s="112">
        <f>J265*C265*2</f>
        <v>8.4899199999999997</v>
      </c>
      <c r="M265" s="113"/>
      <c r="P265" s="65"/>
      <c r="Q265" s="65"/>
      <c r="S265" s="65"/>
      <c r="T265" s="65"/>
    </row>
    <row r="266" spans="1:20" s="114" customFormat="1" x14ac:dyDescent="0.2">
      <c r="A266" s="108"/>
      <c r="B266" s="109" t="s">
        <v>616</v>
      </c>
      <c r="C266" s="110">
        <v>12</v>
      </c>
      <c r="D266" s="110">
        <v>1.08</v>
      </c>
      <c r="E266" s="110"/>
      <c r="F266" s="110"/>
      <c r="G266" s="110"/>
      <c r="H266" s="110"/>
      <c r="I266" s="111">
        <v>0.245</v>
      </c>
      <c r="J266" s="110">
        <f t="shared" si="20"/>
        <v>0.2646</v>
      </c>
      <c r="K266" s="110"/>
      <c r="L266" s="112">
        <f>J266*C266*2</f>
        <v>6.3504000000000005</v>
      </c>
      <c r="M266" s="113"/>
      <c r="P266" s="65"/>
      <c r="Q266" s="65"/>
      <c r="S266" s="65"/>
      <c r="T266" s="65"/>
    </row>
    <row r="267" spans="1:20" x14ac:dyDescent="0.2">
      <c r="A267" s="79"/>
      <c r="B267" s="76" t="s">
        <v>618</v>
      </c>
      <c r="C267" s="80">
        <v>4</v>
      </c>
      <c r="D267" s="80">
        <v>1.9</v>
      </c>
      <c r="E267" s="80"/>
      <c r="F267" s="80"/>
      <c r="G267" s="80"/>
      <c r="H267" s="80"/>
      <c r="I267" s="101">
        <v>0.61699999999999999</v>
      </c>
      <c r="J267" s="80">
        <f t="shared" si="20"/>
        <v>1.1722999999999999</v>
      </c>
      <c r="K267" s="80"/>
      <c r="L267" s="81">
        <f>J267*C267</f>
        <v>4.6891999999999996</v>
      </c>
      <c r="M267" s="82"/>
    </row>
    <row r="268" spans="1:20" x14ac:dyDescent="0.2">
      <c r="A268" s="79"/>
      <c r="B268" s="76" t="s">
        <v>621</v>
      </c>
      <c r="C268" s="80">
        <v>2</v>
      </c>
      <c r="D268" s="80">
        <v>2.02</v>
      </c>
      <c r="E268" s="80"/>
      <c r="F268" s="80"/>
      <c r="G268" s="80"/>
      <c r="H268" s="80"/>
      <c r="I268" s="101">
        <v>0.61699999999999999</v>
      </c>
      <c r="J268" s="80">
        <f t="shared" si="20"/>
        <v>1.24634</v>
      </c>
      <c r="K268" s="80"/>
      <c r="L268" s="81">
        <f t="shared" ref="L268:L270" si="22">J268*C268</f>
        <v>2.49268</v>
      </c>
      <c r="M268" s="82"/>
    </row>
    <row r="269" spans="1:20" x14ac:dyDescent="0.2">
      <c r="A269" s="79"/>
      <c r="B269" s="76" t="s">
        <v>619</v>
      </c>
      <c r="C269" s="80">
        <v>12</v>
      </c>
      <c r="D269" s="80">
        <v>1.32</v>
      </c>
      <c r="E269" s="80"/>
      <c r="F269" s="80"/>
      <c r="G269" s="80"/>
      <c r="H269" s="80"/>
      <c r="I269" s="101">
        <v>0.245</v>
      </c>
      <c r="J269" s="80">
        <f t="shared" si="20"/>
        <v>0.32340000000000002</v>
      </c>
      <c r="K269" s="80"/>
      <c r="L269" s="81">
        <f t="shared" si="22"/>
        <v>3.8808000000000002</v>
      </c>
      <c r="M269" s="82"/>
    </row>
    <row r="270" spans="1:20" x14ac:dyDescent="0.2">
      <c r="A270" s="79"/>
      <c r="B270" s="76" t="s">
        <v>620</v>
      </c>
      <c r="C270" s="80">
        <v>12</v>
      </c>
      <c r="D270" s="80">
        <v>0.22</v>
      </c>
      <c r="E270" s="80"/>
      <c r="F270" s="80"/>
      <c r="G270" s="80"/>
      <c r="H270" s="80"/>
      <c r="I270" s="101">
        <v>0.245</v>
      </c>
      <c r="J270" s="80">
        <f t="shared" si="20"/>
        <v>5.3899999999999997E-2</v>
      </c>
      <c r="K270" s="80"/>
      <c r="L270" s="81">
        <f t="shared" si="22"/>
        <v>0.64679999999999993</v>
      </c>
      <c r="M270" s="82"/>
    </row>
    <row r="271" spans="1:20" s="114" customFormat="1" x14ac:dyDescent="0.2">
      <c r="A271" s="108"/>
      <c r="B271" s="109" t="s">
        <v>628</v>
      </c>
      <c r="C271" s="110">
        <v>4</v>
      </c>
      <c r="D271" s="110">
        <v>1.35</v>
      </c>
      <c r="E271" s="110"/>
      <c r="F271" s="110"/>
      <c r="G271" s="110"/>
      <c r="H271" s="110"/>
      <c r="I271" s="111">
        <v>0.61699999999999999</v>
      </c>
      <c r="J271" s="110">
        <f t="shared" si="20"/>
        <v>0.83295000000000008</v>
      </c>
      <c r="K271" s="110"/>
      <c r="L271" s="112">
        <f>J271*C271*6</f>
        <v>19.9908</v>
      </c>
      <c r="M271" s="113"/>
      <c r="P271" s="65"/>
      <c r="Q271" s="65"/>
      <c r="S271" s="65"/>
      <c r="T271" s="65"/>
    </row>
    <row r="272" spans="1:20" s="114" customFormat="1" x14ac:dyDescent="0.2">
      <c r="A272" s="108"/>
      <c r="B272" s="109" t="s">
        <v>629</v>
      </c>
      <c r="C272" s="110">
        <v>2</v>
      </c>
      <c r="D272" s="110">
        <v>1.52</v>
      </c>
      <c r="E272" s="110"/>
      <c r="F272" s="110"/>
      <c r="G272" s="110"/>
      <c r="H272" s="110"/>
      <c r="I272" s="111">
        <v>0.61699999999999999</v>
      </c>
      <c r="J272" s="110">
        <f t="shared" si="20"/>
        <v>0.93784000000000001</v>
      </c>
      <c r="K272" s="110"/>
      <c r="L272" s="112">
        <f t="shared" ref="L272:L274" si="23">J272*C272*6</f>
        <v>11.25408</v>
      </c>
      <c r="M272" s="113"/>
      <c r="P272" s="65"/>
      <c r="Q272" s="65"/>
      <c r="S272" s="65"/>
      <c r="T272" s="65"/>
    </row>
    <row r="273" spans="1:20" s="114" customFormat="1" x14ac:dyDescent="0.2">
      <c r="A273" s="108"/>
      <c r="B273" s="109" t="s">
        <v>630</v>
      </c>
      <c r="C273" s="110">
        <v>8</v>
      </c>
      <c r="D273" s="110">
        <v>1.32</v>
      </c>
      <c r="E273" s="110"/>
      <c r="F273" s="110"/>
      <c r="G273" s="110"/>
      <c r="H273" s="110"/>
      <c r="I273" s="111">
        <v>0.245</v>
      </c>
      <c r="J273" s="110">
        <f t="shared" si="20"/>
        <v>0.32340000000000002</v>
      </c>
      <c r="K273" s="110"/>
      <c r="L273" s="112">
        <f t="shared" si="23"/>
        <v>15.523200000000001</v>
      </c>
      <c r="M273" s="113"/>
      <c r="P273" s="65"/>
      <c r="Q273" s="65"/>
      <c r="S273" s="65"/>
      <c r="T273" s="65"/>
    </row>
    <row r="274" spans="1:20" s="114" customFormat="1" x14ac:dyDescent="0.2">
      <c r="A274" s="108"/>
      <c r="B274" s="109" t="s">
        <v>631</v>
      </c>
      <c r="C274" s="110">
        <v>8</v>
      </c>
      <c r="D274" s="110">
        <v>0.22</v>
      </c>
      <c r="E274" s="110"/>
      <c r="F274" s="110"/>
      <c r="G274" s="110"/>
      <c r="H274" s="110"/>
      <c r="I274" s="111">
        <v>0.245</v>
      </c>
      <c r="J274" s="110">
        <f t="shared" si="20"/>
        <v>5.3899999999999997E-2</v>
      </c>
      <c r="K274" s="110"/>
      <c r="L274" s="112">
        <f t="shared" si="23"/>
        <v>2.5871999999999997</v>
      </c>
      <c r="M274" s="113"/>
      <c r="P274" s="65"/>
      <c r="Q274" s="65"/>
      <c r="S274" s="65"/>
      <c r="T274" s="65"/>
    </row>
    <row r="275" spans="1:20" x14ac:dyDescent="0.2">
      <c r="A275" s="79"/>
      <c r="B275" s="83" t="s">
        <v>8</v>
      </c>
      <c r="C275" s="84"/>
      <c r="D275" s="84"/>
      <c r="E275" s="84"/>
      <c r="F275" s="84"/>
      <c r="G275" s="84"/>
      <c r="H275" s="84"/>
      <c r="I275" s="84"/>
      <c r="J275" s="84"/>
      <c r="K275" s="84"/>
      <c r="L275" s="85">
        <f>SUM(L239:L274)</f>
        <v>146.55047999999996</v>
      </c>
      <c r="M275" s="86" t="s">
        <v>62</v>
      </c>
    </row>
    <row r="276" spans="1:20" x14ac:dyDescent="0.2">
      <c r="A276" s="76"/>
      <c r="B276" s="94"/>
      <c r="C276" s="91"/>
      <c r="D276" s="91"/>
      <c r="E276" s="91"/>
      <c r="F276" s="91"/>
      <c r="G276" s="91"/>
      <c r="H276" s="91"/>
      <c r="I276" s="91"/>
      <c r="J276" s="91"/>
      <c r="K276" s="91"/>
      <c r="L276" s="320"/>
      <c r="M276" s="88"/>
    </row>
    <row r="277" spans="1:20" x14ac:dyDescent="0.2">
      <c r="A277" s="77" t="s">
        <v>84</v>
      </c>
      <c r="B277" s="425" t="str">
        <f>'Planilha Orçamentária'!D41</f>
        <v>Fornecimento, preparo e aplicação de concreto Fck=25 MPa (brita 1 e 2) - (5% de perdas já incluído no custo)</v>
      </c>
      <c r="C277" s="426"/>
      <c r="D277" s="426"/>
      <c r="E277" s="426"/>
      <c r="F277" s="426"/>
      <c r="G277" s="426"/>
      <c r="H277" s="426"/>
      <c r="I277" s="426"/>
      <c r="J277" s="426"/>
      <c r="K277" s="426"/>
      <c r="L277" s="427"/>
      <c r="M277" s="78"/>
    </row>
    <row r="278" spans="1:20" x14ac:dyDescent="0.2">
      <c r="A278" s="79"/>
      <c r="B278" s="76" t="s">
        <v>586</v>
      </c>
      <c r="C278" s="80">
        <v>1</v>
      </c>
      <c r="D278" s="80">
        <v>0.5</v>
      </c>
      <c r="E278" s="80">
        <v>0.2</v>
      </c>
      <c r="F278" s="80">
        <v>0.5</v>
      </c>
      <c r="G278" s="80"/>
      <c r="H278" s="80">
        <f>F278*E278*D278</f>
        <v>0.05</v>
      </c>
      <c r="I278" s="80"/>
      <c r="J278" s="80"/>
      <c r="K278" s="80"/>
      <c r="L278" s="81">
        <f>H278*C278</f>
        <v>0.05</v>
      </c>
      <c r="M278" s="82"/>
    </row>
    <row r="279" spans="1:20" s="114" customFormat="1" x14ac:dyDescent="0.2">
      <c r="A279" s="108"/>
      <c r="B279" s="109" t="s">
        <v>587</v>
      </c>
      <c r="C279" s="110">
        <v>1</v>
      </c>
      <c r="D279" s="110">
        <v>0.5</v>
      </c>
      <c r="E279" s="110">
        <v>0.2</v>
      </c>
      <c r="F279" s="110">
        <v>0.89</v>
      </c>
      <c r="G279" s="110"/>
      <c r="H279" s="110">
        <f t="shared" ref="H279:H287" si="24">F279*E279*D279</f>
        <v>8.900000000000001E-2</v>
      </c>
      <c r="I279" s="110"/>
      <c r="J279" s="110"/>
      <c r="K279" s="110"/>
      <c r="L279" s="112">
        <f t="shared" ref="L279:L287" si="25">H279*C279</f>
        <v>8.900000000000001E-2</v>
      </c>
      <c r="M279" s="113"/>
    </row>
    <row r="280" spans="1:20" x14ac:dyDescent="0.2">
      <c r="A280" s="79"/>
      <c r="B280" s="76" t="s">
        <v>588</v>
      </c>
      <c r="C280" s="80">
        <v>1</v>
      </c>
      <c r="D280" s="80">
        <v>0.5</v>
      </c>
      <c r="E280" s="80">
        <v>0.2</v>
      </c>
      <c r="F280" s="80">
        <v>1.28</v>
      </c>
      <c r="G280" s="80"/>
      <c r="H280" s="80">
        <f t="shared" si="24"/>
        <v>0.128</v>
      </c>
      <c r="I280" s="80"/>
      <c r="J280" s="80"/>
      <c r="K280" s="80"/>
      <c r="L280" s="81">
        <f t="shared" si="25"/>
        <v>0.128</v>
      </c>
      <c r="M280" s="82"/>
    </row>
    <row r="281" spans="1:20" s="114" customFormat="1" x14ac:dyDescent="0.2">
      <c r="A281" s="108"/>
      <c r="B281" s="109" t="s">
        <v>589</v>
      </c>
      <c r="C281" s="110">
        <v>1</v>
      </c>
      <c r="D281" s="110">
        <v>0.5</v>
      </c>
      <c r="E281" s="110">
        <v>0.2</v>
      </c>
      <c r="F281" s="110">
        <v>1.67</v>
      </c>
      <c r="G281" s="110"/>
      <c r="H281" s="110">
        <f t="shared" si="24"/>
        <v>0.16700000000000001</v>
      </c>
      <c r="I281" s="110"/>
      <c r="J281" s="110"/>
      <c r="K281" s="110"/>
      <c r="L281" s="112">
        <f t="shared" si="25"/>
        <v>0.16700000000000001</v>
      </c>
      <c r="M281" s="113"/>
    </row>
    <row r="282" spans="1:20" x14ac:dyDescent="0.2">
      <c r="A282" s="79"/>
      <c r="B282" s="76" t="s">
        <v>590</v>
      </c>
      <c r="C282" s="80">
        <v>1</v>
      </c>
      <c r="D282" s="80">
        <v>0.5</v>
      </c>
      <c r="E282" s="80">
        <v>0.2</v>
      </c>
      <c r="F282" s="80">
        <v>2.0699999999999998</v>
      </c>
      <c r="G282" s="80"/>
      <c r="H282" s="80">
        <f t="shared" si="24"/>
        <v>0.20699999999999999</v>
      </c>
      <c r="I282" s="80"/>
      <c r="J282" s="80"/>
      <c r="K282" s="80"/>
      <c r="L282" s="81">
        <f t="shared" si="25"/>
        <v>0.20699999999999999</v>
      </c>
      <c r="M282" s="82"/>
    </row>
    <row r="283" spans="1:20" s="114" customFormat="1" x14ac:dyDescent="0.2">
      <c r="A283" s="108"/>
      <c r="B283" s="109" t="s">
        <v>591</v>
      </c>
      <c r="C283" s="110">
        <v>1</v>
      </c>
      <c r="D283" s="110">
        <v>0.5</v>
      </c>
      <c r="E283" s="110">
        <v>0.2</v>
      </c>
      <c r="F283" s="110">
        <v>2.5</v>
      </c>
      <c r="G283" s="110"/>
      <c r="H283" s="110">
        <f t="shared" si="24"/>
        <v>0.25</v>
      </c>
      <c r="I283" s="110"/>
      <c r="J283" s="110"/>
      <c r="K283" s="110"/>
      <c r="L283" s="112">
        <f t="shared" si="25"/>
        <v>0.25</v>
      </c>
      <c r="M283" s="113"/>
    </row>
    <row r="284" spans="1:20" x14ac:dyDescent="0.2">
      <c r="A284" s="79"/>
      <c r="B284" s="76" t="s">
        <v>592</v>
      </c>
      <c r="C284" s="80">
        <v>6</v>
      </c>
      <c r="D284" s="80">
        <v>0.4</v>
      </c>
      <c r="E284" s="80">
        <v>0.18</v>
      </c>
      <c r="F284" s="80">
        <v>0.5</v>
      </c>
      <c r="G284" s="80"/>
      <c r="H284" s="80">
        <f t="shared" si="24"/>
        <v>3.5999999999999997E-2</v>
      </c>
      <c r="I284" s="80"/>
      <c r="J284" s="80"/>
      <c r="K284" s="80"/>
      <c r="L284" s="81">
        <f t="shared" si="25"/>
        <v>0.21599999999999997</v>
      </c>
      <c r="M284" s="82"/>
    </row>
    <row r="285" spans="1:20" s="114" customFormat="1" x14ac:dyDescent="0.2">
      <c r="A285" s="108"/>
      <c r="B285" s="109" t="s">
        <v>593</v>
      </c>
      <c r="C285" s="110">
        <v>2</v>
      </c>
      <c r="D285" s="110">
        <v>0.4</v>
      </c>
      <c r="E285" s="110">
        <v>0.18</v>
      </c>
      <c r="F285" s="110">
        <v>1.75</v>
      </c>
      <c r="G285" s="110"/>
      <c r="H285" s="110">
        <f t="shared" si="24"/>
        <v>0.126</v>
      </c>
      <c r="I285" s="110"/>
      <c r="J285" s="110"/>
      <c r="K285" s="110"/>
      <c r="L285" s="112">
        <f t="shared" si="25"/>
        <v>0.252</v>
      </c>
      <c r="M285" s="113"/>
    </row>
    <row r="286" spans="1:20" x14ac:dyDescent="0.2">
      <c r="A286" s="79"/>
      <c r="B286" s="76" t="s">
        <v>594</v>
      </c>
      <c r="C286" s="80">
        <v>1</v>
      </c>
      <c r="D286" s="80">
        <v>0.5</v>
      </c>
      <c r="E286" s="80">
        <v>0.2</v>
      </c>
      <c r="F286" s="80">
        <v>1.75</v>
      </c>
      <c r="G286" s="80"/>
      <c r="H286" s="80">
        <f t="shared" si="24"/>
        <v>0.17500000000000002</v>
      </c>
      <c r="I286" s="80"/>
      <c r="J286" s="80"/>
      <c r="K286" s="80"/>
      <c r="L286" s="81">
        <f t="shared" si="25"/>
        <v>0.17500000000000002</v>
      </c>
      <c r="M286" s="82"/>
    </row>
    <row r="287" spans="1:20" s="114" customFormat="1" x14ac:dyDescent="0.2">
      <c r="A287" s="108"/>
      <c r="B287" s="109" t="s">
        <v>595</v>
      </c>
      <c r="C287" s="110">
        <v>6</v>
      </c>
      <c r="D287" s="110">
        <v>0.5</v>
      </c>
      <c r="E287" s="110">
        <v>0.2</v>
      </c>
      <c r="F287" s="110">
        <v>1.25</v>
      </c>
      <c r="G287" s="110"/>
      <c r="H287" s="110">
        <f t="shared" si="24"/>
        <v>0.125</v>
      </c>
      <c r="I287" s="110"/>
      <c r="J287" s="110"/>
      <c r="K287" s="110"/>
      <c r="L287" s="112">
        <f t="shared" si="25"/>
        <v>0.75</v>
      </c>
      <c r="M287" s="113"/>
    </row>
    <row r="288" spans="1:20" x14ac:dyDescent="0.2">
      <c r="A288" s="79"/>
      <c r="B288" s="83" t="s">
        <v>8</v>
      </c>
      <c r="C288" s="84"/>
      <c r="D288" s="84"/>
      <c r="E288" s="84"/>
      <c r="F288" s="84"/>
      <c r="G288" s="84"/>
      <c r="H288" s="84"/>
      <c r="I288" s="84"/>
      <c r="J288" s="84"/>
      <c r="K288" s="84"/>
      <c r="L288" s="85">
        <f>SUM(L278:L287)</f>
        <v>2.2839999999999998</v>
      </c>
      <c r="M288" s="86" t="s">
        <v>36</v>
      </c>
    </row>
    <row r="289" spans="1:13" x14ac:dyDescent="0.2">
      <c r="A289" s="76"/>
      <c r="B289" s="94"/>
      <c r="C289" s="91"/>
      <c r="D289" s="91"/>
      <c r="E289" s="91"/>
      <c r="F289" s="91"/>
      <c r="G289" s="91"/>
      <c r="H289" s="91"/>
      <c r="I289" s="91"/>
      <c r="J289" s="91"/>
      <c r="K289" s="91"/>
      <c r="L289" s="320"/>
      <c r="M289" s="88"/>
    </row>
    <row r="290" spans="1:13" x14ac:dyDescent="0.2">
      <c r="A290" s="74" t="s">
        <v>85</v>
      </c>
      <c r="B290" s="314" t="str">
        <f>'Planilha Orçamentária'!D42</f>
        <v>Vigas de Travamento</v>
      </c>
      <c r="C290" s="315"/>
      <c r="D290" s="315"/>
      <c r="E290" s="315"/>
      <c r="F290" s="315"/>
      <c r="G290" s="315"/>
      <c r="H290" s="315"/>
      <c r="I290" s="315"/>
      <c r="J290" s="315"/>
      <c r="K290" s="315"/>
      <c r="L290" s="98"/>
      <c r="M290" s="75"/>
    </row>
    <row r="291" spans="1:13" x14ac:dyDescent="0.2">
      <c r="A291" s="77" t="s">
        <v>87</v>
      </c>
      <c r="B291" s="425" t="str">
        <f>'Planilha Orçamentária'!D43</f>
        <v>Fôrma de chapa compensada resinada 12mm, levando-se em conta a utilização 3 vezes (incluido o material, corte, montagem, escoramento e desfôrma)</v>
      </c>
      <c r="C291" s="426"/>
      <c r="D291" s="426"/>
      <c r="E291" s="426"/>
      <c r="F291" s="426"/>
      <c r="G291" s="426"/>
      <c r="H291" s="426"/>
      <c r="I291" s="426"/>
      <c r="J291" s="426"/>
      <c r="K291" s="426"/>
      <c r="L291" s="427"/>
      <c r="M291" s="78"/>
    </row>
    <row r="292" spans="1:13" x14ac:dyDescent="0.2">
      <c r="A292" s="79"/>
      <c r="B292" s="76" t="s">
        <v>632</v>
      </c>
      <c r="C292" s="80">
        <v>1</v>
      </c>
      <c r="D292" s="80">
        <v>4.6500000000000004</v>
      </c>
      <c r="E292" s="80">
        <v>0.2</v>
      </c>
      <c r="F292" s="80">
        <v>0.4</v>
      </c>
      <c r="G292" s="80">
        <f>F292*D292*2</f>
        <v>3.7200000000000006</v>
      </c>
      <c r="H292" s="80"/>
      <c r="I292" s="80"/>
      <c r="J292" s="80"/>
      <c r="K292" s="80"/>
      <c r="L292" s="81">
        <f>G292</f>
        <v>3.7200000000000006</v>
      </c>
      <c r="M292" s="82"/>
    </row>
    <row r="293" spans="1:13" s="114" customFormat="1" x14ac:dyDescent="0.2">
      <c r="A293" s="108"/>
      <c r="B293" s="109" t="s">
        <v>633</v>
      </c>
      <c r="C293" s="110">
        <v>1</v>
      </c>
      <c r="D293" s="110">
        <v>4.8</v>
      </c>
      <c r="E293" s="110">
        <v>0.2</v>
      </c>
      <c r="F293" s="110">
        <v>0.4</v>
      </c>
      <c r="G293" s="110">
        <f>F293*D293*2</f>
        <v>3.84</v>
      </c>
      <c r="H293" s="110"/>
      <c r="I293" s="110"/>
      <c r="J293" s="110"/>
      <c r="K293" s="110"/>
      <c r="L293" s="112">
        <f t="shared" ref="L293:L301" si="26">G293</f>
        <v>3.84</v>
      </c>
      <c r="M293" s="113"/>
    </row>
    <row r="294" spans="1:13" x14ac:dyDescent="0.2">
      <c r="A294" s="79"/>
      <c r="B294" s="76" t="s">
        <v>634</v>
      </c>
      <c r="C294" s="80">
        <v>1</v>
      </c>
      <c r="D294" s="80">
        <v>4.8</v>
      </c>
      <c r="E294" s="80">
        <v>0.2</v>
      </c>
      <c r="F294" s="80">
        <v>0.4</v>
      </c>
      <c r="G294" s="80">
        <f t="shared" ref="G294:G301" si="27">F294*D294*2</f>
        <v>3.84</v>
      </c>
      <c r="H294" s="80"/>
      <c r="I294" s="80"/>
      <c r="J294" s="80"/>
      <c r="K294" s="80"/>
      <c r="L294" s="81">
        <f t="shared" si="26"/>
        <v>3.84</v>
      </c>
      <c r="M294" s="82"/>
    </row>
    <row r="295" spans="1:13" s="114" customFormat="1" x14ac:dyDescent="0.2">
      <c r="A295" s="108"/>
      <c r="B295" s="109" t="s">
        <v>636</v>
      </c>
      <c r="C295" s="110">
        <v>1</v>
      </c>
      <c r="D295" s="110">
        <v>4.8</v>
      </c>
      <c r="E295" s="110">
        <v>0.2</v>
      </c>
      <c r="F295" s="110">
        <v>0.4</v>
      </c>
      <c r="G295" s="110">
        <f t="shared" si="27"/>
        <v>3.84</v>
      </c>
      <c r="H295" s="110"/>
      <c r="I295" s="110"/>
      <c r="J295" s="110"/>
      <c r="K295" s="110"/>
      <c r="L295" s="112">
        <f t="shared" si="26"/>
        <v>3.84</v>
      </c>
      <c r="M295" s="113"/>
    </row>
    <row r="296" spans="1:13" x14ac:dyDescent="0.2">
      <c r="A296" s="79"/>
      <c r="B296" s="76" t="s">
        <v>635</v>
      </c>
      <c r="C296" s="80">
        <v>1</v>
      </c>
      <c r="D296" s="80">
        <v>4.8</v>
      </c>
      <c r="E296" s="80">
        <v>0.2</v>
      </c>
      <c r="F296" s="80">
        <v>0.4</v>
      </c>
      <c r="G296" s="80">
        <f t="shared" si="27"/>
        <v>3.84</v>
      </c>
      <c r="H296" s="80"/>
      <c r="I296" s="80"/>
      <c r="J296" s="80"/>
      <c r="K296" s="80"/>
      <c r="L296" s="81">
        <f t="shared" si="26"/>
        <v>3.84</v>
      </c>
      <c r="M296" s="82"/>
    </row>
    <row r="297" spans="1:13" s="114" customFormat="1" x14ac:dyDescent="0.2">
      <c r="A297" s="108"/>
      <c r="B297" s="109" t="s">
        <v>638</v>
      </c>
      <c r="C297" s="110">
        <v>1</v>
      </c>
      <c r="D297" s="110">
        <v>4.0999999999999996</v>
      </c>
      <c r="E297" s="110">
        <v>0.18</v>
      </c>
      <c r="F297" s="110">
        <v>0.4</v>
      </c>
      <c r="G297" s="110">
        <f t="shared" si="27"/>
        <v>3.28</v>
      </c>
      <c r="H297" s="110"/>
      <c r="I297" s="110"/>
      <c r="J297" s="110"/>
      <c r="K297" s="110"/>
      <c r="L297" s="112">
        <f t="shared" si="26"/>
        <v>3.28</v>
      </c>
      <c r="M297" s="113"/>
    </row>
    <row r="298" spans="1:13" x14ac:dyDescent="0.2">
      <c r="A298" s="79"/>
      <c r="B298" s="76" t="s">
        <v>639</v>
      </c>
      <c r="C298" s="80">
        <v>1</v>
      </c>
      <c r="D298" s="80">
        <v>3.93</v>
      </c>
      <c r="E298" s="80">
        <v>0.18</v>
      </c>
      <c r="F298" s="80">
        <v>0.4</v>
      </c>
      <c r="G298" s="80">
        <f t="shared" si="27"/>
        <v>3.1440000000000001</v>
      </c>
      <c r="H298" s="80"/>
      <c r="I298" s="80"/>
      <c r="J298" s="80"/>
      <c r="K298" s="80"/>
      <c r="L298" s="81">
        <f t="shared" si="26"/>
        <v>3.1440000000000001</v>
      </c>
      <c r="M298" s="82"/>
    </row>
    <row r="299" spans="1:13" s="114" customFormat="1" x14ac:dyDescent="0.2">
      <c r="A299" s="108"/>
      <c r="B299" s="109" t="s">
        <v>637</v>
      </c>
      <c r="C299" s="110">
        <v>1</v>
      </c>
      <c r="D299" s="110">
        <v>4.8</v>
      </c>
      <c r="E299" s="110">
        <v>0.2</v>
      </c>
      <c r="F299" s="110">
        <v>0.4</v>
      </c>
      <c r="G299" s="110">
        <f t="shared" si="27"/>
        <v>3.84</v>
      </c>
      <c r="H299" s="110"/>
      <c r="I299" s="110"/>
      <c r="J299" s="110"/>
      <c r="K299" s="110"/>
      <c r="L299" s="112">
        <f t="shared" si="26"/>
        <v>3.84</v>
      </c>
      <c r="M299" s="113"/>
    </row>
    <row r="300" spans="1:13" x14ac:dyDescent="0.2">
      <c r="A300" s="79"/>
      <c r="B300" s="76" t="s">
        <v>640</v>
      </c>
      <c r="C300" s="80">
        <v>1</v>
      </c>
      <c r="D300" s="80">
        <v>4.8</v>
      </c>
      <c r="E300" s="80">
        <v>0.2</v>
      </c>
      <c r="F300" s="80">
        <v>0.4</v>
      </c>
      <c r="G300" s="80">
        <f t="shared" si="27"/>
        <v>3.84</v>
      </c>
      <c r="H300" s="80"/>
      <c r="I300" s="80"/>
      <c r="J300" s="80"/>
      <c r="K300" s="80"/>
      <c r="L300" s="81">
        <f t="shared" si="26"/>
        <v>3.84</v>
      </c>
      <c r="M300" s="82"/>
    </row>
    <row r="301" spans="1:13" s="114" customFormat="1" x14ac:dyDescent="0.2">
      <c r="A301" s="108"/>
      <c r="B301" s="109" t="s">
        <v>641</v>
      </c>
      <c r="C301" s="110">
        <v>1</v>
      </c>
      <c r="D301" s="110">
        <v>4.8</v>
      </c>
      <c r="E301" s="110">
        <v>0.2</v>
      </c>
      <c r="F301" s="110">
        <v>0.4</v>
      </c>
      <c r="G301" s="110">
        <f t="shared" si="27"/>
        <v>3.84</v>
      </c>
      <c r="H301" s="110"/>
      <c r="I301" s="110"/>
      <c r="J301" s="110"/>
      <c r="K301" s="110"/>
      <c r="L301" s="112">
        <f t="shared" si="26"/>
        <v>3.84</v>
      </c>
      <c r="M301" s="113"/>
    </row>
    <row r="302" spans="1:13" x14ac:dyDescent="0.2">
      <c r="A302" s="79"/>
      <c r="B302" s="83" t="s">
        <v>8</v>
      </c>
      <c r="C302" s="84"/>
      <c r="D302" s="84"/>
      <c r="E302" s="84"/>
      <c r="F302" s="84"/>
      <c r="G302" s="84"/>
      <c r="H302" s="84"/>
      <c r="I302" s="84"/>
      <c r="J302" s="84"/>
      <c r="K302" s="84"/>
      <c r="L302" s="85">
        <f>SUM(L292:L301)</f>
        <v>37.024000000000001</v>
      </c>
      <c r="M302" s="86" t="s">
        <v>18</v>
      </c>
    </row>
    <row r="303" spans="1:13" x14ac:dyDescent="0.2">
      <c r="A303" s="78"/>
      <c r="B303" s="91"/>
      <c r="C303" s="91"/>
      <c r="D303" s="91"/>
      <c r="E303" s="91"/>
      <c r="F303" s="91"/>
      <c r="G303" s="91"/>
      <c r="H303" s="91"/>
      <c r="I303" s="91"/>
      <c r="J303" s="91"/>
      <c r="K303" s="91"/>
      <c r="L303" s="87"/>
      <c r="M303" s="88"/>
    </row>
    <row r="304" spans="1:13" x14ac:dyDescent="0.2">
      <c r="A304" s="89" t="s">
        <v>88</v>
      </c>
      <c r="B304" s="405" t="str">
        <f>'Planilha Orçamentária'!D44</f>
        <v>Fornecimento, dobragem e colocação em fôrma, de armadura CA-50 A média, diâmetro de 6.3 a 10.0 mm</v>
      </c>
      <c r="C304" s="405"/>
      <c r="D304" s="405"/>
      <c r="E304" s="405"/>
      <c r="F304" s="405"/>
      <c r="G304" s="405"/>
      <c r="H304" s="405"/>
      <c r="I304" s="405"/>
      <c r="J304" s="405"/>
      <c r="K304" s="405"/>
      <c r="L304" s="406"/>
      <c r="M304" s="78"/>
    </row>
    <row r="305" spans="1:15" x14ac:dyDescent="0.2">
      <c r="A305" s="79"/>
      <c r="B305" s="76" t="s">
        <v>642</v>
      </c>
      <c r="C305" s="80"/>
      <c r="D305" s="80">
        <f>2*5.975+2*5.725+2*5.975</f>
        <v>35.349999999999994</v>
      </c>
      <c r="E305" s="80"/>
      <c r="F305" s="80"/>
      <c r="G305" s="80"/>
      <c r="H305" s="80"/>
      <c r="I305" s="101">
        <v>0.61699999999999999</v>
      </c>
      <c r="J305" s="80">
        <f>TRUNC(I305*D305,2)</f>
        <v>21.81</v>
      </c>
      <c r="K305" s="80"/>
      <c r="L305" s="81">
        <f t="shared" ref="L305:L324" si="28">J305</f>
        <v>21.81</v>
      </c>
      <c r="M305" s="82"/>
    </row>
    <row r="306" spans="1:15" x14ac:dyDescent="0.2">
      <c r="A306" s="79"/>
      <c r="B306" s="76" t="s">
        <v>652</v>
      </c>
      <c r="C306" s="80"/>
      <c r="D306" s="80">
        <f>31*1.08</f>
        <v>33.480000000000004</v>
      </c>
      <c r="E306" s="80"/>
      <c r="F306" s="80"/>
      <c r="G306" s="80"/>
      <c r="H306" s="80"/>
      <c r="I306" s="101">
        <v>0.245</v>
      </c>
      <c r="J306" s="80">
        <f t="shared" ref="J306:J324" si="29">I306*D306</f>
        <v>8.2026000000000003</v>
      </c>
      <c r="K306" s="80"/>
      <c r="L306" s="81">
        <f t="shared" si="28"/>
        <v>8.2026000000000003</v>
      </c>
      <c r="M306" s="82"/>
    </row>
    <row r="307" spans="1:15" s="114" customFormat="1" x14ac:dyDescent="0.2">
      <c r="A307" s="108"/>
      <c r="B307" s="109" t="s">
        <v>643</v>
      </c>
      <c r="C307" s="110"/>
      <c r="D307" s="110">
        <f>6*6</f>
        <v>36</v>
      </c>
      <c r="E307" s="110"/>
      <c r="F307" s="110"/>
      <c r="G307" s="110"/>
      <c r="H307" s="110"/>
      <c r="I307" s="111">
        <v>0.61699999999999999</v>
      </c>
      <c r="J307" s="110">
        <f t="shared" si="29"/>
        <v>22.212</v>
      </c>
      <c r="K307" s="110"/>
      <c r="L307" s="112">
        <f t="shared" si="28"/>
        <v>22.212</v>
      </c>
      <c r="M307" s="113"/>
    </row>
    <row r="308" spans="1:15" s="114" customFormat="1" x14ac:dyDescent="0.2">
      <c r="A308" s="108"/>
      <c r="B308" s="109" t="s">
        <v>653</v>
      </c>
      <c r="C308" s="110"/>
      <c r="D308" s="110">
        <f>32*1.08</f>
        <v>34.56</v>
      </c>
      <c r="E308" s="110"/>
      <c r="F308" s="110"/>
      <c r="G308" s="110"/>
      <c r="H308" s="110"/>
      <c r="I308" s="111">
        <v>0.245</v>
      </c>
      <c r="J308" s="110">
        <f t="shared" si="29"/>
        <v>8.4672000000000001</v>
      </c>
      <c r="K308" s="110"/>
      <c r="L308" s="112">
        <f t="shared" si="28"/>
        <v>8.4672000000000001</v>
      </c>
      <c r="M308" s="113"/>
    </row>
    <row r="309" spans="1:15" x14ac:dyDescent="0.2">
      <c r="A309" s="79"/>
      <c r="B309" s="76" t="s">
        <v>644</v>
      </c>
      <c r="C309" s="80"/>
      <c r="D309" s="80">
        <f>6*6</f>
        <v>36</v>
      </c>
      <c r="E309" s="80"/>
      <c r="F309" s="80"/>
      <c r="G309" s="80"/>
      <c r="H309" s="80"/>
      <c r="I309" s="101">
        <v>0.61699999999999999</v>
      </c>
      <c r="J309" s="80">
        <f t="shared" si="29"/>
        <v>22.212</v>
      </c>
      <c r="K309" s="80"/>
      <c r="L309" s="81">
        <f t="shared" si="28"/>
        <v>22.212</v>
      </c>
      <c r="M309" s="82"/>
    </row>
    <row r="310" spans="1:15" x14ac:dyDescent="0.2">
      <c r="A310" s="79"/>
      <c r="B310" s="76" t="s">
        <v>654</v>
      </c>
      <c r="C310" s="80"/>
      <c r="D310" s="80">
        <f>32*1.08</f>
        <v>34.56</v>
      </c>
      <c r="E310" s="80"/>
      <c r="F310" s="80"/>
      <c r="G310" s="80"/>
      <c r="H310" s="80"/>
      <c r="I310" s="101">
        <v>0.245</v>
      </c>
      <c r="J310" s="80">
        <f t="shared" si="29"/>
        <v>8.4672000000000001</v>
      </c>
      <c r="K310" s="80"/>
      <c r="L310" s="81">
        <f t="shared" si="28"/>
        <v>8.4672000000000001</v>
      </c>
      <c r="M310" s="82"/>
    </row>
    <row r="311" spans="1:15" s="114" customFormat="1" x14ac:dyDescent="0.2">
      <c r="A311" s="108"/>
      <c r="B311" s="109" t="s">
        <v>645</v>
      </c>
      <c r="C311" s="110"/>
      <c r="D311" s="110">
        <f>6*6</f>
        <v>36</v>
      </c>
      <c r="E311" s="110"/>
      <c r="F311" s="110"/>
      <c r="G311" s="110"/>
      <c r="H311" s="110"/>
      <c r="I311" s="111">
        <v>0.61699999999999999</v>
      </c>
      <c r="J311" s="110">
        <f t="shared" si="29"/>
        <v>22.212</v>
      </c>
      <c r="K311" s="110"/>
      <c r="L311" s="112">
        <f t="shared" si="28"/>
        <v>22.212</v>
      </c>
      <c r="M311" s="113"/>
    </row>
    <row r="312" spans="1:15" s="114" customFormat="1" x14ac:dyDescent="0.2">
      <c r="A312" s="108"/>
      <c r="B312" s="109" t="s">
        <v>655</v>
      </c>
      <c r="C312" s="110"/>
      <c r="D312" s="110">
        <f>32*1.08</f>
        <v>34.56</v>
      </c>
      <c r="E312" s="110"/>
      <c r="F312" s="110"/>
      <c r="G312" s="110"/>
      <c r="H312" s="110"/>
      <c r="I312" s="111">
        <v>0.245</v>
      </c>
      <c r="J312" s="110">
        <f t="shared" si="29"/>
        <v>8.4672000000000001</v>
      </c>
      <c r="K312" s="110"/>
      <c r="L312" s="112">
        <f t="shared" si="28"/>
        <v>8.4672000000000001</v>
      </c>
      <c r="M312" s="113"/>
    </row>
    <row r="313" spans="1:15" x14ac:dyDescent="0.2">
      <c r="A313" s="79"/>
      <c r="B313" s="76" t="s">
        <v>646</v>
      </c>
      <c r="C313" s="80"/>
      <c r="D313" s="80">
        <f>2*5.825+2*5.575+2*5.825</f>
        <v>34.450000000000003</v>
      </c>
      <c r="E313" s="80"/>
      <c r="F313" s="80"/>
      <c r="G313" s="80"/>
      <c r="H313" s="80"/>
      <c r="I313" s="101">
        <v>0.61699999999999999</v>
      </c>
      <c r="J313" s="80">
        <f t="shared" si="29"/>
        <v>21.255650000000003</v>
      </c>
      <c r="K313" s="80"/>
      <c r="L313" s="81">
        <f t="shared" si="28"/>
        <v>21.255650000000003</v>
      </c>
      <c r="M313" s="82"/>
    </row>
    <row r="314" spans="1:15" x14ac:dyDescent="0.2">
      <c r="A314" s="79"/>
      <c r="B314" s="76" t="s">
        <v>656</v>
      </c>
      <c r="C314" s="80"/>
      <c r="D314" s="80">
        <f>32*1.08</f>
        <v>34.56</v>
      </c>
      <c r="E314" s="80"/>
      <c r="F314" s="80"/>
      <c r="G314" s="80"/>
      <c r="H314" s="80"/>
      <c r="I314" s="101">
        <v>0.245</v>
      </c>
      <c r="J314" s="80">
        <f t="shared" si="29"/>
        <v>8.4672000000000001</v>
      </c>
      <c r="K314" s="80"/>
      <c r="L314" s="81">
        <f t="shared" si="28"/>
        <v>8.4672000000000001</v>
      </c>
      <c r="M314" s="82"/>
    </row>
    <row r="315" spans="1:15" s="114" customFormat="1" x14ac:dyDescent="0.2">
      <c r="A315" s="108"/>
      <c r="B315" s="109" t="s">
        <v>647</v>
      </c>
      <c r="C315" s="110"/>
      <c r="D315" s="110">
        <f>2*5.3645+2*5.1145+2*5.3645</f>
        <v>31.686999999999998</v>
      </c>
      <c r="E315" s="110"/>
      <c r="F315" s="110"/>
      <c r="G315" s="110"/>
      <c r="H315" s="110"/>
      <c r="I315" s="111">
        <v>0.61699999999999999</v>
      </c>
      <c r="J315" s="110">
        <f t="shared" si="29"/>
        <v>19.550878999999998</v>
      </c>
      <c r="K315" s="110"/>
      <c r="L315" s="112">
        <f t="shared" si="28"/>
        <v>19.550878999999998</v>
      </c>
      <c r="M315" s="113"/>
    </row>
    <row r="316" spans="1:15" s="114" customFormat="1" x14ac:dyDescent="0.2">
      <c r="A316" s="108"/>
      <c r="B316" s="109" t="s">
        <v>657</v>
      </c>
      <c r="C316" s="110"/>
      <c r="D316" s="110">
        <f>27*1.04</f>
        <v>28.080000000000002</v>
      </c>
      <c r="E316" s="110"/>
      <c r="F316" s="110"/>
      <c r="G316" s="110"/>
      <c r="H316" s="110"/>
      <c r="I316" s="111">
        <v>0.245</v>
      </c>
      <c r="J316" s="110">
        <f t="shared" si="29"/>
        <v>6.8795999999999999</v>
      </c>
      <c r="K316" s="110"/>
      <c r="L316" s="112">
        <f t="shared" si="28"/>
        <v>6.8795999999999999</v>
      </c>
      <c r="M316" s="113"/>
    </row>
    <row r="317" spans="1:15" x14ac:dyDescent="0.2">
      <c r="A317" s="79"/>
      <c r="B317" s="76" t="s">
        <v>648</v>
      </c>
      <c r="C317" s="80"/>
      <c r="D317" s="80">
        <f>6*5.5</f>
        <v>33</v>
      </c>
      <c r="E317" s="80"/>
      <c r="F317" s="80"/>
      <c r="G317" s="80"/>
      <c r="H317" s="80"/>
      <c r="I317" s="101">
        <v>0.61699999999999999</v>
      </c>
      <c r="J317" s="80">
        <f t="shared" si="29"/>
        <v>20.361000000000001</v>
      </c>
      <c r="K317" s="80"/>
      <c r="L317" s="81">
        <f t="shared" si="28"/>
        <v>20.361000000000001</v>
      </c>
      <c r="M317" s="82"/>
    </row>
    <row r="318" spans="1:15" x14ac:dyDescent="0.2">
      <c r="A318" s="79"/>
      <c r="B318" s="76" t="s">
        <v>658</v>
      </c>
      <c r="C318" s="80"/>
      <c r="D318" s="80">
        <f>27*1.04</f>
        <v>28.080000000000002</v>
      </c>
      <c r="E318" s="80"/>
      <c r="F318" s="80"/>
      <c r="G318" s="80"/>
      <c r="H318" s="80"/>
      <c r="I318" s="101">
        <v>0.245</v>
      </c>
      <c r="J318" s="80">
        <f t="shared" si="29"/>
        <v>6.8795999999999999</v>
      </c>
      <c r="K318" s="80"/>
      <c r="L318" s="81">
        <f t="shared" si="28"/>
        <v>6.8795999999999999</v>
      </c>
      <c r="M318" s="82"/>
      <c r="O318" s="95"/>
    </row>
    <row r="319" spans="1:15" s="114" customFormat="1" x14ac:dyDescent="0.2">
      <c r="A319" s="108"/>
      <c r="B319" s="109" t="s">
        <v>649</v>
      </c>
      <c r="C319" s="110"/>
      <c r="D319" s="110">
        <f>2*5.65+2*5.15+2*5.65</f>
        <v>32.900000000000006</v>
      </c>
      <c r="E319" s="110"/>
      <c r="F319" s="110"/>
      <c r="G319" s="110"/>
      <c r="H319" s="110"/>
      <c r="I319" s="111">
        <v>0.61699999999999999</v>
      </c>
      <c r="J319" s="110">
        <f t="shared" si="29"/>
        <v>20.299300000000002</v>
      </c>
      <c r="K319" s="110"/>
      <c r="L319" s="112">
        <f t="shared" si="28"/>
        <v>20.299300000000002</v>
      </c>
      <c r="M319" s="113"/>
      <c r="O319" s="95"/>
    </row>
    <row r="320" spans="1:15" s="114" customFormat="1" x14ac:dyDescent="0.2">
      <c r="A320" s="108"/>
      <c r="B320" s="109" t="s">
        <v>659</v>
      </c>
      <c r="C320" s="110"/>
      <c r="D320" s="110">
        <f>32*1.08</f>
        <v>34.56</v>
      </c>
      <c r="E320" s="110"/>
      <c r="F320" s="110"/>
      <c r="G320" s="110"/>
      <c r="H320" s="110"/>
      <c r="I320" s="111">
        <v>0.245</v>
      </c>
      <c r="J320" s="110">
        <f t="shared" si="29"/>
        <v>8.4672000000000001</v>
      </c>
      <c r="K320" s="110"/>
      <c r="L320" s="112">
        <f t="shared" si="28"/>
        <v>8.4672000000000001</v>
      </c>
      <c r="M320" s="113"/>
    </row>
    <row r="321" spans="1:15" x14ac:dyDescent="0.2">
      <c r="A321" s="79"/>
      <c r="B321" s="76" t="s">
        <v>650</v>
      </c>
      <c r="C321" s="80"/>
      <c r="D321" s="80">
        <f>2*5.65+2*5.15+2*5.65</f>
        <v>32.900000000000006</v>
      </c>
      <c r="E321" s="80"/>
      <c r="F321" s="80"/>
      <c r="G321" s="80"/>
      <c r="H321" s="80"/>
      <c r="I321" s="101">
        <v>0.61699999999999999</v>
      </c>
      <c r="J321" s="80">
        <f t="shared" si="29"/>
        <v>20.299300000000002</v>
      </c>
      <c r="K321" s="80"/>
      <c r="L321" s="81">
        <f t="shared" si="28"/>
        <v>20.299300000000002</v>
      </c>
      <c r="M321" s="82"/>
    </row>
    <row r="322" spans="1:15" x14ac:dyDescent="0.2">
      <c r="A322" s="79"/>
      <c r="B322" s="76" t="s">
        <v>660</v>
      </c>
      <c r="C322" s="80"/>
      <c r="D322" s="80">
        <f>32*1.08</f>
        <v>34.56</v>
      </c>
      <c r="E322" s="80"/>
      <c r="F322" s="80"/>
      <c r="G322" s="80"/>
      <c r="H322" s="80"/>
      <c r="I322" s="101">
        <v>0.245</v>
      </c>
      <c r="J322" s="80">
        <f t="shared" si="29"/>
        <v>8.4672000000000001</v>
      </c>
      <c r="K322" s="80"/>
      <c r="L322" s="81">
        <f t="shared" si="28"/>
        <v>8.4672000000000001</v>
      </c>
      <c r="M322" s="82"/>
    </row>
    <row r="323" spans="1:15" s="114" customFormat="1" x14ac:dyDescent="0.2">
      <c r="A323" s="108"/>
      <c r="B323" s="109" t="s">
        <v>651</v>
      </c>
      <c r="C323" s="110"/>
      <c r="D323" s="110">
        <f>2*5.65+2*5.15+2*5.65</f>
        <v>32.900000000000006</v>
      </c>
      <c r="E323" s="110"/>
      <c r="F323" s="110"/>
      <c r="G323" s="110"/>
      <c r="H323" s="110"/>
      <c r="I323" s="111">
        <v>0.61699999999999999</v>
      </c>
      <c r="J323" s="110">
        <f t="shared" si="29"/>
        <v>20.299300000000002</v>
      </c>
      <c r="K323" s="110"/>
      <c r="L323" s="112">
        <f t="shared" si="28"/>
        <v>20.299300000000002</v>
      </c>
      <c r="M323" s="113"/>
    </row>
    <row r="324" spans="1:15" s="114" customFormat="1" x14ac:dyDescent="0.2">
      <c r="A324" s="115"/>
      <c r="B324" s="109" t="s">
        <v>661</v>
      </c>
      <c r="C324" s="110"/>
      <c r="D324" s="110">
        <f>32*1.08</f>
        <v>34.56</v>
      </c>
      <c r="E324" s="110"/>
      <c r="F324" s="110"/>
      <c r="G324" s="110"/>
      <c r="H324" s="110"/>
      <c r="I324" s="111">
        <v>0.245</v>
      </c>
      <c r="J324" s="110">
        <f t="shared" si="29"/>
        <v>8.4672000000000001</v>
      </c>
      <c r="K324" s="110"/>
      <c r="L324" s="112">
        <f t="shared" si="28"/>
        <v>8.4672000000000001</v>
      </c>
      <c r="M324" s="113"/>
    </row>
    <row r="325" spans="1:15" x14ac:dyDescent="0.2">
      <c r="A325" s="90"/>
      <c r="B325" s="92" t="s">
        <v>8</v>
      </c>
      <c r="C325" s="84"/>
      <c r="D325" s="84"/>
      <c r="E325" s="84"/>
      <c r="F325" s="84"/>
      <c r="G325" s="84"/>
      <c r="H325" s="84"/>
      <c r="I325" s="84"/>
      <c r="J325" s="84"/>
      <c r="K325" s="84"/>
      <c r="L325" s="85">
        <f>SUM(L305:L324)</f>
        <v>291.74362900000006</v>
      </c>
      <c r="M325" s="86" t="s">
        <v>62</v>
      </c>
      <c r="O325" s="95">
        <f>SUM(L325,L199)</f>
        <v>881.82362899999987</v>
      </c>
    </row>
    <row r="326" spans="1:15" x14ac:dyDescent="0.2">
      <c r="A326" s="78"/>
      <c r="B326" s="91"/>
      <c r="C326" s="91"/>
      <c r="D326" s="91"/>
      <c r="E326" s="91"/>
      <c r="F326" s="91"/>
      <c r="G326" s="91"/>
      <c r="H326" s="91"/>
      <c r="I326" s="91"/>
      <c r="J326" s="91"/>
      <c r="K326" s="91"/>
      <c r="L326" s="87"/>
      <c r="M326" s="78"/>
    </row>
    <row r="327" spans="1:15" x14ac:dyDescent="0.2">
      <c r="A327" s="77" t="s">
        <v>89</v>
      </c>
      <c r="B327" s="425" t="str">
        <f>'Planilha Orçamentária'!D45</f>
        <v>Fornecimento, preparo e aplicação de concreto Fck=25 MPa (brita 1 e 2) - (5% de perdas já incluído no custo)</v>
      </c>
      <c r="C327" s="426"/>
      <c r="D327" s="426"/>
      <c r="E327" s="426"/>
      <c r="F327" s="426"/>
      <c r="G327" s="426"/>
      <c r="H327" s="426"/>
      <c r="I327" s="426"/>
      <c r="J327" s="426"/>
      <c r="K327" s="426"/>
      <c r="L327" s="427"/>
      <c r="M327" s="78"/>
    </row>
    <row r="328" spans="1:15" x14ac:dyDescent="0.2">
      <c r="A328" s="79"/>
      <c r="B328" s="76" t="s">
        <v>632</v>
      </c>
      <c r="C328" s="80">
        <v>1</v>
      </c>
      <c r="D328" s="80">
        <v>4.6500000000000004</v>
      </c>
      <c r="E328" s="80">
        <v>0.2</v>
      </c>
      <c r="F328" s="80">
        <v>0.4</v>
      </c>
      <c r="G328" s="80"/>
      <c r="H328" s="101">
        <f>D328*E328*F328</f>
        <v>0.37200000000000011</v>
      </c>
      <c r="I328" s="80"/>
      <c r="J328" s="80"/>
      <c r="K328" s="80"/>
      <c r="L328" s="120">
        <f>H328*C328</f>
        <v>0.37200000000000011</v>
      </c>
      <c r="M328" s="82"/>
    </row>
    <row r="329" spans="1:15" s="114" customFormat="1" x14ac:dyDescent="0.2">
      <c r="A329" s="108"/>
      <c r="B329" s="109" t="s">
        <v>633</v>
      </c>
      <c r="C329" s="110">
        <v>1</v>
      </c>
      <c r="D329" s="110">
        <v>4.8</v>
      </c>
      <c r="E329" s="110">
        <v>0.2</v>
      </c>
      <c r="F329" s="110">
        <v>0.4</v>
      </c>
      <c r="G329" s="110"/>
      <c r="H329" s="111">
        <f t="shared" ref="H329:H337" si="30">D329*E329*F329</f>
        <v>0.38400000000000001</v>
      </c>
      <c r="I329" s="110"/>
      <c r="J329" s="110"/>
      <c r="K329" s="110"/>
      <c r="L329" s="121">
        <f t="shared" ref="L329:L337" si="31">H329*C329</f>
        <v>0.38400000000000001</v>
      </c>
      <c r="M329" s="113"/>
    </row>
    <row r="330" spans="1:15" x14ac:dyDescent="0.2">
      <c r="A330" s="79"/>
      <c r="B330" s="76" t="s">
        <v>634</v>
      </c>
      <c r="C330" s="80">
        <v>1</v>
      </c>
      <c r="D330" s="80">
        <v>4.8</v>
      </c>
      <c r="E330" s="80">
        <v>0.2</v>
      </c>
      <c r="F330" s="80">
        <v>0.4</v>
      </c>
      <c r="G330" s="80"/>
      <c r="H330" s="101">
        <f t="shared" si="30"/>
        <v>0.38400000000000001</v>
      </c>
      <c r="I330" s="80"/>
      <c r="J330" s="80"/>
      <c r="K330" s="80"/>
      <c r="L330" s="120">
        <f t="shared" si="31"/>
        <v>0.38400000000000001</v>
      </c>
      <c r="M330" s="82"/>
    </row>
    <row r="331" spans="1:15" s="114" customFormat="1" x14ac:dyDescent="0.2">
      <c r="A331" s="108"/>
      <c r="B331" s="109" t="s">
        <v>636</v>
      </c>
      <c r="C331" s="110">
        <v>1</v>
      </c>
      <c r="D331" s="110">
        <v>4.8</v>
      </c>
      <c r="E331" s="110">
        <v>0.2</v>
      </c>
      <c r="F331" s="110">
        <v>0.4</v>
      </c>
      <c r="G331" s="110"/>
      <c r="H331" s="111">
        <f t="shared" si="30"/>
        <v>0.38400000000000001</v>
      </c>
      <c r="I331" s="110"/>
      <c r="J331" s="110"/>
      <c r="K331" s="110"/>
      <c r="L331" s="121">
        <f t="shared" si="31"/>
        <v>0.38400000000000001</v>
      </c>
      <c r="M331" s="113"/>
    </row>
    <row r="332" spans="1:15" x14ac:dyDescent="0.2">
      <c r="A332" s="79"/>
      <c r="B332" s="76" t="s">
        <v>635</v>
      </c>
      <c r="C332" s="80">
        <v>1</v>
      </c>
      <c r="D332" s="80">
        <v>4.8</v>
      </c>
      <c r="E332" s="80">
        <v>0.2</v>
      </c>
      <c r="F332" s="80">
        <v>0.4</v>
      </c>
      <c r="G332" s="80"/>
      <c r="H332" s="101">
        <f t="shared" si="30"/>
        <v>0.38400000000000001</v>
      </c>
      <c r="I332" s="80"/>
      <c r="J332" s="80"/>
      <c r="K332" s="80"/>
      <c r="L332" s="120">
        <f t="shared" si="31"/>
        <v>0.38400000000000001</v>
      </c>
      <c r="M332" s="82"/>
    </row>
    <row r="333" spans="1:15" s="114" customFormat="1" x14ac:dyDescent="0.2">
      <c r="A333" s="108"/>
      <c r="B333" s="109" t="s">
        <v>638</v>
      </c>
      <c r="C333" s="110">
        <v>1</v>
      </c>
      <c r="D333" s="110">
        <v>4.0999999999999996</v>
      </c>
      <c r="E333" s="110">
        <v>0.18</v>
      </c>
      <c r="F333" s="110">
        <v>0.4</v>
      </c>
      <c r="G333" s="110"/>
      <c r="H333" s="111">
        <f t="shared" si="30"/>
        <v>0.29519999999999996</v>
      </c>
      <c r="I333" s="110"/>
      <c r="J333" s="110"/>
      <c r="K333" s="110"/>
      <c r="L333" s="121">
        <f t="shared" si="31"/>
        <v>0.29519999999999996</v>
      </c>
      <c r="M333" s="113"/>
    </row>
    <row r="334" spans="1:15" x14ac:dyDescent="0.2">
      <c r="A334" s="79"/>
      <c r="B334" s="76" t="s">
        <v>639</v>
      </c>
      <c r="C334" s="80">
        <v>1</v>
      </c>
      <c r="D334" s="80">
        <v>3.93</v>
      </c>
      <c r="E334" s="80">
        <v>0.18</v>
      </c>
      <c r="F334" s="80">
        <v>0.4</v>
      </c>
      <c r="G334" s="80"/>
      <c r="H334" s="101">
        <f t="shared" si="30"/>
        <v>0.28296000000000004</v>
      </c>
      <c r="I334" s="80"/>
      <c r="J334" s="80"/>
      <c r="K334" s="80"/>
      <c r="L334" s="120">
        <f t="shared" si="31"/>
        <v>0.28296000000000004</v>
      </c>
      <c r="M334" s="82"/>
    </row>
    <row r="335" spans="1:15" s="114" customFormat="1" x14ac:dyDescent="0.2">
      <c r="A335" s="108"/>
      <c r="B335" s="109" t="s">
        <v>637</v>
      </c>
      <c r="C335" s="110">
        <v>1</v>
      </c>
      <c r="D335" s="110">
        <v>4.8</v>
      </c>
      <c r="E335" s="110">
        <v>0.2</v>
      </c>
      <c r="F335" s="110">
        <v>0.4</v>
      </c>
      <c r="G335" s="110"/>
      <c r="H335" s="111">
        <f t="shared" si="30"/>
        <v>0.38400000000000001</v>
      </c>
      <c r="I335" s="110"/>
      <c r="J335" s="110"/>
      <c r="K335" s="110"/>
      <c r="L335" s="121">
        <f t="shared" si="31"/>
        <v>0.38400000000000001</v>
      </c>
      <c r="M335" s="113"/>
    </row>
    <row r="336" spans="1:15" x14ac:dyDescent="0.2">
      <c r="A336" s="79"/>
      <c r="B336" s="76" t="s">
        <v>640</v>
      </c>
      <c r="C336" s="80">
        <v>1</v>
      </c>
      <c r="D336" s="80">
        <v>4.8</v>
      </c>
      <c r="E336" s="80">
        <v>0.2</v>
      </c>
      <c r="F336" s="80">
        <v>0.4</v>
      </c>
      <c r="G336" s="80"/>
      <c r="H336" s="101">
        <f t="shared" si="30"/>
        <v>0.38400000000000001</v>
      </c>
      <c r="I336" s="80"/>
      <c r="J336" s="80"/>
      <c r="K336" s="80"/>
      <c r="L336" s="120">
        <f t="shared" si="31"/>
        <v>0.38400000000000001</v>
      </c>
      <c r="M336" s="82"/>
    </row>
    <row r="337" spans="1:14" s="114" customFormat="1" x14ac:dyDescent="0.2">
      <c r="A337" s="108"/>
      <c r="B337" s="109" t="s">
        <v>641</v>
      </c>
      <c r="C337" s="110">
        <v>1</v>
      </c>
      <c r="D337" s="110">
        <v>4.8</v>
      </c>
      <c r="E337" s="110">
        <v>0.2</v>
      </c>
      <c r="F337" s="110">
        <v>0.4</v>
      </c>
      <c r="G337" s="110"/>
      <c r="H337" s="111">
        <f t="shared" si="30"/>
        <v>0.38400000000000001</v>
      </c>
      <c r="I337" s="110"/>
      <c r="J337" s="110"/>
      <c r="K337" s="110"/>
      <c r="L337" s="121">
        <f t="shared" si="31"/>
        <v>0.38400000000000001</v>
      </c>
      <c r="M337" s="113"/>
    </row>
    <row r="338" spans="1:14" x14ac:dyDescent="0.2">
      <c r="A338" s="79"/>
      <c r="B338" s="83" t="s">
        <v>8</v>
      </c>
      <c r="C338" s="84"/>
      <c r="D338" s="84"/>
      <c r="E338" s="84"/>
      <c r="F338" s="84"/>
      <c r="G338" s="84"/>
      <c r="H338" s="84"/>
      <c r="I338" s="84"/>
      <c r="J338" s="84"/>
      <c r="K338" s="84"/>
      <c r="L338" s="85">
        <f>SUM(L328:L337)</f>
        <v>3.6381599999999996</v>
      </c>
      <c r="M338" s="86" t="s">
        <v>36</v>
      </c>
    </row>
    <row r="339" spans="1:14" x14ac:dyDescent="0.2">
      <c r="A339" s="76"/>
      <c r="B339" s="94"/>
      <c r="C339" s="91"/>
      <c r="D339" s="91"/>
      <c r="E339" s="91"/>
      <c r="F339" s="91"/>
      <c r="G339" s="91"/>
      <c r="H339" s="91"/>
      <c r="I339" s="91"/>
      <c r="J339" s="91"/>
      <c r="K339" s="91"/>
      <c r="L339" s="320"/>
      <c r="M339" s="88"/>
      <c r="N339" s="91"/>
    </row>
    <row r="340" spans="1:14" x14ac:dyDescent="0.2">
      <c r="A340" s="74" t="s">
        <v>90</v>
      </c>
      <c r="B340" s="314" t="str">
        <f>'Planilha Orçamentária'!D46</f>
        <v>Muros</v>
      </c>
      <c r="C340" s="315"/>
      <c r="D340" s="315"/>
      <c r="E340" s="315"/>
      <c r="F340" s="315"/>
      <c r="G340" s="315"/>
      <c r="H340" s="315"/>
      <c r="I340" s="315"/>
      <c r="J340" s="315"/>
      <c r="K340" s="315"/>
      <c r="L340" s="98"/>
      <c r="M340" s="75"/>
    </row>
    <row r="341" spans="1:14" x14ac:dyDescent="0.2">
      <c r="A341" s="77" t="s">
        <v>92</v>
      </c>
      <c r="B341" s="425" t="str">
        <f>'Planilha Orçamentária'!D47</f>
        <v>Alvenaria de blocos de concreto estrut. (19x19x39cm) cheios, c/ resist. mín. compr. 15MPa, assentados c/ arg. cimento e areia no traço 1:4, esp. juntas de 10mm e esp. da parede s/ revest. 19cm</v>
      </c>
      <c r="C341" s="426"/>
      <c r="D341" s="426"/>
      <c r="E341" s="426"/>
      <c r="F341" s="426"/>
      <c r="G341" s="426"/>
      <c r="H341" s="426"/>
      <c r="I341" s="426"/>
      <c r="J341" s="426"/>
      <c r="K341" s="426"/>
      <c r="L341" s="427"/>
      <c r="M341" s="78"/>
    </row>
    <row r="342" spans="1:14" x14ac:dyDescent="0.2">
      <c r="A342" s="79"/>
      <c r="B342" s="76" t="s">
        <v>662</v>
      </c>
      <c r="C342" s="80">
        <v>1</v>
      </c>
      <c r="D342" s="80">
        <v>4.6500000000000004</v>
      </c>
      <c r="E342" s="80"/>
      <c r="F342" s="80">
        <v>0.85</v>
      </c>
      <c r="G342" s="80">
        <f>TRUNC(D342*F342,2)</f>
        <v>3.95</v>
      </c>
      <c r="H342" s="80"/>
      <c r="I342" s="80"/>
      <c r="J342" s="80"/>
      <c r="K342" s="80"/>
      <c r="L342" s="81">
        <f>G342</f>
        <v>3.95</v>
      </c>
      <c r="M342" s="82"/>
    </row>
    <row r="343" spans="1:14" x14ac:dyDescent="0.2">
      <c r="A343" s="79"/>
      <c r="B343" s="76" t="s">
        <v>663</v>
      </c>
      <c r="C343" s="80">
        <v>1</v>
      </c>
      <c r="D343" s="80">
        <v>4.8</v>
      </c>
      <c r="E343" s="80"/>
      <c r="F343" s="80">
        <v>0.85</v>
      </c>
      <c r="G343" s="80">
        <f t="shared" ref="G343:G351" si="32">TRUNC(D343*F343,2)</f>
        <v>4.08</v>
      </c>
      <c r="H343" s="80"/>
      <c r="I343" s="80"/>
      <c r="J343" s="80"/>
      <c r="K343" s="80"/>
      <c r="L343" s="81">
        <f t="shared" ref="L343:L351" si="33">G343</f>
        <v>4.08</v>
      </c>
      <c r="M343" s="82"/>
    </row>
    <row r="344" spans="1:14" x14ac:dyDescent="0.2">
      <c r="A344" s="79"/>
      <c r="B344" s="76" t="s">
        <v>664</v>
      </c>
      <c r="C344" s="80">
        <v>1</v>
      </c>
      <c r="D344" s="80">
        <v>4.8</v>
      </c>
      <c r="E344" s="80"/>
      <c r="F344" s="80">
        <v>0.85</v>
      </c>
      <c r="G344" s="80">
        <f t="shared" si="32"/>
        <v>4.08</v>
      </c>
      <c r="H344" s="80"/>
      <c r="I344" s="80"/>
      <c r="J344" s="80"/>
      <c r="K344" s="80"/>
      <c r="L344" s="81">
        <f t="shared" si="33"/>
        <v>4.08</v>
      </c>
      <c r="M344" s="82"/>
    </row>
    <row r="345" spans="1:14" x14ac:dyDescent="0.2">
      <c r="A345" s="79"/>
      <c r="B345" s="76" t="s">
        <v>665</v>
      </c>
      <c r="C345" s="80">
        <v>1</v>
      </c>
      <c r="D345" s="80">
        <v>4.8</v>
      </c>
      <c r="E345" s="80"/>
      <c r="F345" s="80">
        <v>0.85</v>
      </c>
      <c r="G345" s="80">
        <f t="shared" si="32"/>
        <v>4.08</v>
      </c>
      <c r="H345" s="80"/>
      <c r="I345" s="80"/>
      <c r="J345" s="80"/>
      <c r="K345" s="80"/>
      <c r="L345" s="81">
        <f t="shared" si="33"/>
        <v>4.08</v>
      </c>
      <c r="M345" s="82"/>
    </row>
    <row r="346" spans="1:14" x14ac:dyDescent="0.2">
      <c r="A346" s="79"/>
      <c r="B346" s="76" t="s">
        <v>666</v>
      </c>
      <c r="C346" s="80">
        <v>1</v>
      </c>
      <c r="D346" s="80">
        <v>4.8</v>
      </c>
      <c r="E346" s="80"/>
      <c r="F346" s="80">
        <v>0.85</v>
      </c>
      <c r="G346" s="80">
        <f t="shared" si="32"/>
        <v>4.08</v>
      </c>
      <c r="H346" s="80"/>
      <c r="I346" s="80"/>
      <c r="J346" s="80"/>
      <c r="K346" s="80"/>
      <c r="L346" s="81">
        <f t="shared" si="33"/>
        <v>4.08</v>
      </c>
      <c r="M346" s="82"/>
    </row>
    <row r="347" spans="1:14" x14ac:dyDescent="0.2">
      <c r="A347" s="79"/>
      <c r="B347" s="76" t="s">
        <v>667</v>
      </c>
      <c r="C347" s="80">
        <v>1</v>
      </c>
      <c r="D347" s="80">
        <v>4.0999999999999996</v>
      </c>
      <c r="E347" s="80"/>
      <c r="F347" s="80">
        <v>0.85</v>
      </c>
      <c r="G347" s="80">
        <f t="shared" si="32"/>
        <v>3.48</v>
      </c>
      <c r="H347" s="80"/>
      <c r="I347" s="80"/>
      <c r="J347" s="80"/>
      <c r="K347" s="80"/>
      <c r="L347" s="81">
        <f t="shared" si="33"/>
        <v>3.48</v>
      </c>
      <c r="M347" s="82"/>
    </row>
    <row r="348" spans="1:14" x14ac:dyDescent="0.2">
      <c r="A348" s="79"/>
      <c r="B348" s="76" t="s">
        <v>668</v>
      </c>
      <c r="C348" s="80">
        <v>1</v>
      </c>
      <c r="D348" s="80">
        <v>3.93</v>
      </c>
      <c r="E348" s="80"/>
      <c r="F348" s="80">
        <v>0.85</v>
      </c>
      <c r="G348" s="80">
        <f t="shared" si="32"/>
        <v>3.34</v>
      </c>
      <c r="H348" s="80"/>
      <c r="I348" s="80"/>
      <c r="J348" s="80"/>
      <c r="K348" s="80"/>
      <c r="L348" s="81">
        <f t="shared" si="33"/>
        <v>3.34</v>
      </c>
      <c r="M348" s="82"/>
    </row>
    <row r="349" spans="1:14" x14ac:dyDescent="0.2">
      <c r="A349" s="79"/>
      <c r="B349" s="76" t="s">
        <v>669</v>
      </c>
      <c r="C349" s="80">
        <v>1</v>
      </c>
      <c r="D349" s="80">
        <v>4.8</v>
      </c>
      <c r="E349" s="80"/>
      <c r="F349" s="80">
        <v>0.88</v>
      </c>
      <c r="G349" s="80">
        <f t="shared" si="32"/>
        <v>4.22</v>
      </c>
      <c r="H349" s="80"/>
      <c r="I349" s="80"/>
      <c r="J349" s="80"/>
      <c r="K349" s="80"/>
      <c r="L349" s="81">
        <f t="shared" si="33"/>
        <v>4.22</v>
      </c>
      <c r="M349" s="82"/>
    </row>
    <row r="350" spans="1:14" x14ac:dyDescent="0.2">
      <c r="A350" s="79"/>
      <c r="B350" s="76" t="s">
        <v>670</v>
      </c>
      <c r="C350" s="80">
        <v>1</v>
      </c>
      <c r="D350" s="80">
        <v>4.8</v>
      </c>
      <c r="E350" s="80"/>
      <c r="F350" s="80">
        <v>1.27</v>
      </c>
      <c r="G350" s="80">
        <f t="shared" si="32"/>
        <v>6.09</v>
      </c>
      <c r="H350" s="80"/>
      <c r="I350" s="80"/>
      <c r="J350" s="80"/>
      <c r="K350" s="80"/>
      <c r="L350" s="81">
        <f t="shared" si="33"/>
        <v>6.09</v>
      </c>
      <c r="M350" s="82"/>
    </row>
    <row r="351" spans="1:14" x14ac:dyDescent="0.2">
      <c r="A351" s="79"/>
      <c r="B351" s="76" t="s">
        <v>671</v>
      </c>
      <c r="C351" s="80">
        <v>1</v>
      </c>
      <c r="D351" s="80">
        <v>4.8</v>
      </c>
      <c r="E351" s="80"/>
      <c r="F351" s="80">
        <v>1.66</v>
      </c>
      <c r="G351" s="80">
        <f t="shared" si="32"/>
        <v>7.96</v>
      </c>
      <c r="H351" s="80"/>
      <c r="I351" s="80"/>
      <c r="J351" s="80"/>
      <c r="K351" s="80"/>
      <c r="L351" s="81">
        <f t="shared" si="33"/>
        <v>7.96</v>
      </c>
      <c r="M351" s="82"/>
    </row>
    <row r="352" spans="1:14" x14ac:dyDescent="0.2">
      <c r="A352" s="79"/>
      <c r="B352" s="83" t="s">
        <v>8</v>
      </c>
      <c r="C352" s="84"/>
      <c r="D352" s="84"/>
      <c r="E352" s="84"/>
      <c r="F352" s="84"/>
      <c r="G352" s="84"/>
      <c r="H352" s="84"/>
      <c r="I352" s="84"/>
      <c r="J352" s="84"/>
      <c r="K352" s="84"/>
      <c r="L352" s="85">
        <f>SUM(L342:L351)</f>
        <v>45.360000000000007</v>
      </c>
      <c r="M352" s="86" t="s">
        <v>18</v>
      </c>
    </row>
    <row r="353" spans="1:15" x14ac:dyDescent="0.2">
      <c r="A353" s="78"/>
      <c r="B353" s="91"/>
      <c r="C353" s="91"/>
      <c r="D353" s="91"/>
      <c r="E353" s="91"/>
      <c r="F353" s="91"/>
      <c r="G353" s="91"/>
      <c r="H353" s="91"/>
      <c r="I353" s="91"/>
      <c r="J353" s="91"/>
      <c r="K353" s="91"/>
      <c r="L353" s="87"/>
      <c r="M353" s="88"/>
    </row>
    <row r="354" spans="1:15" x14ac:dyDescent="0.2">
      <c r="A354" s="89" t="s">
        <v>95</v>
      </c>
      <c r="B354" s="405" t="str">
        <f>'Planilha Orçamentária'!D48</f>
        <v>Fornecimento, dobragem e colocação em fôrma, de armadura CA-50 A média, diâmetro de 6.3 a 10.0 mm</v>
      </c>
      <c r="C354" s="405"/>
      <c r="D354" s="405"/>
      <c r="E354" s="405"/>
      <c r="F354" s="405"/>
      <c r="G354" s="405"/>
      <c r="H354" s="405"/>
      <c r="I354" s="405"/>
      <c r="J354" s="405"/>
      <c r="K354" s="405"/>
      <c r="L354" s="406"/>
      <c r="M354" s="78"/>
    </row>
    <row r="355" spans="1:15" x14ac:dyDescent="0.2">
      <c r="A355" s="90"/>
      <c r="B355" s="91" t="s">
        <v>673</v>
      </c>
      <c r="C355" s="80">
        <v>115</v>
      </c>
      <c r="D355" s="80">
        <v>1.77</v>
      </c>
      <c r="E355" s="80"/>
      <c r="F355" s="80"/>
      <c r="G355" s="80"/>
      <c r="H355" s="80"/>
      <c r="I355" s="101">
        <v>0.39500000000000002</v>
      </c>
      <c r="J355" s="80"/>
      <c r="K355" s="80"/>
      <c r="L355" s="81">
        <f>I355*D355*C355</f>
        <v>80.402250000000009</v>
      </c>
      <c r="M355" s="82"/>
    </row>
    <row r="356" spans="1:15" x14ac:dyDescent="0.2">
      <c r="A356" s="90"/>
      <c r="B356" s="91" t="s">
        <v>674</v>
      </c>
      <c r="C356" s="80">
        <v>39</v>
      </c>
      <c r="D356" s="80">
        <v>1.77</v>
      </c>
      <c r="E356" s="80"/>
      <c r="F356" s="80"/>
      <c r="G356" s="80"/>
      <c r="H356" s="80"/>
      <c r="I356" s="101">
        <v>0.39500000000000002</v>
      </c>
      <c r="J356" s="80"/>
      <c r="K356" s="80"/>
      <c r="L356" s="81">
        <f t="shared" ref="L356:L359" si="34">I356*D356*C356</f>
        <v>27.266850000000002</v>
      </c>
      <c r="M356" s="82"/>
    </row>
    <row r="357" spans="1:15" x14ac:dyDescent="0.2">
      <c r="A357" s="90"/>
      <c r="B357" s="91" t="s">
        <v>675</v>
      </c>
      <c r="C357" s="80">
        <v>23</v>
      </c>
      <c r="D357" s="80">
        <v>1.8</v>
      </c>
      <c r="E357" s="80"/>
      <c r="F357" s="80"/>
      <c r="G357" s="80"/>
      <c r="H357" s="80"/>
      <c r="I357" s="101">
        <v>0.39500000000000002</v>
      </c>
      <c r="J357" s="80"/>
      <c r="K357" s="80"/>
      <c r="L357" s="81">
        <f t="shared" si="34"/>
        <v>16.353000000000002</v>
      </c>
      <c r="M357" s="82"/>
    </row>
    <row r="358" spans="1:15" x14ac:dyDescent="0.2">
      <c r="A358" s="90"/>
      <c r="B358" s="91" t="s">
        <v>676</v>
      </c>
      <c r="C358" s="80">
        <v>23</v>
      </c>
      <c r="D358" s="80">
        <v>2.19</v>
      </c>
      <c r="E358" s="80"/>
      <c r="F358" s="80"/>
      <c r="G358" s="80"/>
      <c r="H358" s="80"/>
      <c r="I358" s="101">
        <v>0.39500000000000002</v>
      </c>
      <c r="J358" s="80"/>
      <c r="K358" s="80"/>
      <c r="L358" s="81">
        <f t="shared" si="34"/>
        <v>19.896149999999999</v>
      </c>
      <c r="M358" s="82"/>
    </row>
    <row r="359" spans="1:15" x14ac:dyDescent="0.2">
      <c r="A359" s="90"/>
      <c r="B359" s="91" t="s">
        <v>677</v>
      </c>
      <c r="C359" s="80">
        <v>23</v>
      </c>
      <c r="D359" s="80">
        <v>2.58</v>
      </c>
      <c r="E359" s="80"/>
      <c r="F359" s="80"/>
      <c r="G359" s="80"/>
      <c r="H359" s="80"/>
      <c r="I359" s="101">
        <v>0.39500000000000002</v>
      </c>
      <c r="J359" s="80"/>
      <c r="K359" s="80"/>
      <c r="L359" s="81">
        <f t="shared" si="34"/>
        <v>23.439300000000003</v>
      </c>
      <c r="M359" s="82"/>
    </row>
    <row r="360" spans="1:15" x14ac:dyDescent="0.2">
      <c r="A360" s="90"/>
      <c r="B360" s="92" t="s">
        <v>8</v>
      </c>
      <c r="C360" s="84"/>
      <c r="D360" s="84"/>
      <c r="E360" s="84"/>
      <c r="F360" s="84"/>
      <c r="G360" s="84"/>
      <c r="H360" s="84"/>
      <c r="I360" s="84"/>
      <c r="J360" s="84"/>
      <c r="K360" s="84"/>
      <c r="L360" s="85">
        <f>SUM(L355:L359)</f>
        <v>167.35755000000003</v>
      </c>
      <c r="M360" s="86" t="s">
        <v>62</v>
      </c>
      <c r="O360" s="95"/>
    </row>
    <row r="361" spans="1:15" x14ac:dyDescent="0.2">
      <c r="A361" s="78"/>
      <c r="B361" s="91"/>
      <c r="C361" s="91"/>
      <c r="D361" s="91"/>
      <c r="E361" s="91"/>
      <c r="F361" s="91"/>
      <c r="G361" s="91"/>
      <c r="H361" s="91"/>
      <c r="I361" s="91"/>
      <c r="J361" s="91"/>
      <c r="K361" s="91"/>
      <c r="L361" s="87"/>
      <c r="M361" s="78"/>
    </row>
    <row r="362" spans="1:15" x14ac:dyDescent="0.2">
      <c r="A362" s="77" t="s">
        <v>96</v>
      </c>
      <c r="B362" s="425" t="str">
        <f>'Planilha Orçamentária'!D49</f>
        <v xml:space="preserve">Chapim (pingadeira) de concreto aparente com acabamento desempenado, forma de compensado plastificado (madeirit) com largura de 25 cm e espessura de 5 cm, fundido no local. </v>
      </c>
      <c r="C362" s="426"/>
      <c r="D362" s="426"/>
      <c r="E362" s="426"/>
      <c r="F362" s="426"/>
      <c r="G362" s="426"/>
      <c r="H362" s="426"/>
      <c r="I362" s="426"/>
      <c r="J362" s="426"/>
      <c r="K362" s="426"/>
      <c r="L362" s="427"/>
      <c r="M362" s="78"/>
    </row>
    <row r="363" spans="1:15" x14ac:dyDescent="0.2">
      <c r="A363" s="79"/>
      <c r="B363" s="76" t="s">
        <v>672</v>
      </c>
      <c r="C363" s="80">
        <v>1</v>
      </c>
      <c r="D363" s="80">
        <v>25.35</v>
      </c>
      <c r="E363" s="80"/>
      <c r="F363" s="80"/>
      <c r="G363" s="80"/>
      <c r="H363" s="80"/>
      <c r="I363" s="80"/>
      <c r="J363" s="80"/>
      <c r="K363" s="80"/>
      <c r="L363" s="81">
        <f>D363</f>
        <v>25.35</v>
      </c>
      <c r="M363" s="82"/>
    </row>
    <row r="364" spans="1:15" x14ac:dyDescent="0.2">
      <c r="A364" s="79"/>
      <c r="B364" s="76" t="s">
        <v>678</v>
      </c>
      <c r="C364" s="80">
        <v>1</v>
      </c>
      <c r="D364" s="80">
        <v>25.3</v>
      </c>
      <c r="E364" s="80"/>
      <c r="F364" s="80"/>
      <c r="G364" s="80"/>
      <c r="H364" s="80"/>
      <c r="I364" s="80"/>
      <c r="J364" s="80"/>
      <c r="K364" s="80">
        <v>3</v>
      </c>
      <c r="L364" s="81">
        <f>D364-K364</f>
        <v>22.3</v>
      </c>
      <c r="M364" s="82"/>
    </row>
    <row r="365" spans="1:15" x14ac:dyDescent="0.2">
      <c r="A365" s="79"/>
      <c r="B365" s="76" t="s">
        <v>680</v>
      </c>
      <c r="C365" s="80">
        <v>1</v>
      </c>
      <c r="D365" s="80">
        <v>18.3</v>
      </c>
      <c r="E365" s="80"/>
      <c r="F365" s="80"/>
      <c r="G365" s="80"/>
      <c r="H365" s="80"/>
      <c r="I365" s="80"/>
      <c r="J365" s="80"/>
      <c r="K365" s="80"/>
      <c r="L365" s="81">
        <f>D365</f>
        <v>18.3</v>
      </c>
      <c r="M365" s="82"/>
    </row>
    <row r="366" spans="1:15" x14ac:dyDescent="0.2">
      <c r="A366" s="79"/>
      <c r="B366" s="76" t="s">
        <v>681</v>
      </c>
      <c r="C366" s="80">
        <v>1</v>
      </c>
      <c r="D366" s="80">
        <v>25.2</v>
      </c>
      <c r="E366" s="80"/>
      <c r="F366" s="80"/>
      <c r="G366" s="80"/>
      <c r="H366" s="80"/>
      <c r="I366" s="80"/>
      <c r="J366" s="80"/>
      <c r="K366" s="80"/>
      <c r="L366" s="81">
        <f>D366</f>
        <v>25.2</v>
      </c>
      <c r="M366" s="82"/>
    </row>
    <row r="367" spans="1:15" x14ac:dyDescent="0.2">
      <c r="A367" s="79"/>
      <c r="B367" s="76" t="s">
        <v>682</v>
      </c>
      <c r="C367" s="80">
        <v>1</v>
      </c>
      <c r="D367" s="80">
        <v>18.2</v>
      </c>
      <c r="E367" s="80"/>
      <c r="F367" s="80"/>
      <c r="G367" s="80"/>
      <c r="H367" s="80"/>
      <c r="I367" s="80"/>
      <c r="J367" s="80"/>
      <c r="K367" s="80"/>
      <c r="L367" s="81">
        <f>D367</f>
        <v>18.2</v>
      </c>
      <c r="M367" s="82"/>
    </row>
    <row r="368" spans="1:15" x14ac:dyDescent="0.2">
      <c r="A368" s="79"/>
      <c r="B368" s="83" t="s">
        <v>8</v>
      </c>
      <c r="C368" s="84"/>
      <c r="D368" s="84"/>
      <c r="E368" s="84"/>
      <c r="F368" s="84"/>
      <c r="G368" s="84"/>
      <c r="H368" s="84"/>
      <c r="I368" s="84"/>
      <c r="J368" s="84"/>
      <c r="K368" s="84"/>
      <c r="L368" s="85">
        <f>SUM(L363:L367)</f>
        <v>109.35000000000001</v>
      </c>
      <c r="M368" s="86" t="s">
        <v>22</v>
      </c>
    </row>
    <row r="369" spans="1:14" x14ac:dyDescent="0.2">
      <c r="A369" s="78"/>
      <c r="B369" s="91"/>
      <c r="C369" s="91"/>
      <c r="D369" s="91"/>
      <c r="E369" s="91"/>
      <c r="F369" s="91"/>
      <c r="G369" s="91"/>
      <c r="H369" s="91"/>
      <c r="I369" s="91"/>
      <c r="J369" s="91"/>
      <c r="K369" s="91"/>
      <c r="L369" s="97"/>
      <c r="M369" s="75"/>
      <c r="N369" s="91"/>
    </row>
    <row r="370" spans="1:14" x14ac:dyDescent="0.2">
      <c r="A370" s="74" t="s">
        <v>99</v>
      </c>
      <c r="B370" s="314" t="str">
        <f>'Planilha Orçamentária'!D50</f>
        <v>Escada</v>
      </c>
      <c r="C370" s="315"/>
      <c r="D370" s="315"/>
      <c r="E370" s="315"/>
      <c r="F370" s="315"/>
      <c r="G370" s="315"/>
      <c r="H370" s="315"/>
      <c r="I370" s="315"/>
      <c r="J370" s="315"/>
      <c r="K370" s="315"/>
      <c r="L370" s="98"/>
      <c r="M370" s="75"/>
    </row>
    <row r="371" spans="1:14" x14ac:dyDescent="0.2">
      <c r="A371" s="77" t="s">
        <v>101</v>
      </c>
      <c r="B371" s="428" t="str">
        <f>'Planilha Orçamentária'!D51</f>
        <v>Alvenaria de blocos de concreto estrut. (14x19x39cm) cheios, c/ resist. mín. compr. 15MPa, assentados c/ arg. de cimento e areia no traço 1:4, esp. juntas 10mm e esp. da parede s/ revest. 14cm</v>
      </c>
      <c r="C371" s="405"/>
      <c r="D371" s="405"/>
      <c r="E371" s="405"/>
      <c r="F371" s="405"/>
      <c r="G371" s="405"/>
      <c r="H371" s="405"/>
      <c r="I371" s="405"/>
      <c r="J371" s="405"/>
      <c r="K371" s="405"/>
      <c r="L371" s="406"/>
      <c r="M371" s="78"/>
    </row>
    <row r="372" spans="1:14" x14ac:dyDescent="0.2">
      <c r="A372" s="79"/>
      <c r="B372" s="76" t="s">
        <v>683</v>
      </c>
      <c r="C372" s="80">
        <v>1</v>
      </c>
      <c r="D372" s="80">
        <v>1.68</v>
      </c>
      <c r="E372" s="80">
        <v>5</v>
      </c>
      <c r="F372" s="80"/>
      <c r="G372" s="80">
        <f>E372*D372</f>
        <v>8.4</v>
      </c>
      <c r="H372" s="80"/>
      <c r="I372" s="80"/>
      <c r="J372" s="80"/>
      <c r="K372" s="80"/>
      <c r="L372" s="81">
        <f>G372</f>
        <v>8.4</v>
      </c>
      <c r="M372" s="82"/>
    </row>
    <row r="373" spans="1:14" x14ac:dyDescent="0.2">
      <c r="A373" s="79"/>
      <c r="B373" s="83" t="s">
        <v>8</v>
      </c>
      <c r="C373" s="84"/>
      <c r="D373" s="84"/>
      <c r="E373" s="84"/>
      <c r="F373" s="84"/>
      <c r="G373" s="84"/>
      <c r="H373" s="84"/>
      <c r="I373" s="84"/>
      <c r="J373" s="84"/>
      <c r="K373" s="84"/>
      <c r="L373" s="85">
        <f>L372</f>
        <v>8.4</v>
      </c>
      <c r="M373" s="86" t="s">
        <v>18</v>
      </c>
    </row>
    <row r="374" spans="1:14" x14ac:dyDescent="0.2">
      <c r="A374" s="78"/>
      <c r="B374" s="91"/>
      <c r="C374" s="91"/>
      <c r="D374" s="91"/>
      <c r="E374" s="91"/>
      <c r="F374" s="91"/>
      <c r="G374" s="91"/>
      <c r="H374" s="91"/>
      <c r="I374" s="91"/>
      <c r="J374" s="91"/>
      <c r="K374" s="91"/>
      <c r="L374" s="87"/>
      <c r="M374" s="88"/>
    </row>
    <row r="375" spans="1:14" x14ac:dyDescent="0.2">
      <c r="A375" s="74" t="s">
        <v>105</v>
      </c>
      <c r="B375" s="399" t="str">
        <f>'Planilha Orçamentária'!D54</f>
        <v>PLAYGROUND</v>
      </c>
      <c r="C375" s="400"/>
      <c r="D375" s="400"/>
      <c r="E375" s="400"/>
      <c r="F375" s="400"/>
      <c r="G375" s="400"/>
      <c r="H375" s="400"/>
      <c r="I375" s="400"/>
      <c r="J375" s="400"/>
      <c r="K375" s="400"/>
      <c r="L375" s="401"/>
      <c r="M375" s="75"/>
    </row>
    <row r="376" spans="1:14" x14ac:dyDescent="0.2">
      <c r="A376" s="77" t="s">
        <v>107</v>
      </c>
      <c r="B376" s="425" t="str">
        <f>'Planilha Orçamentária'!D55</f>
        <v>Fornecimento, preparo e aplicação de concreto magro com consumo mínimo de cimento de 250 kg/m3 (brita 1 e 2) - (5% de perdas já incluído no custo)</v>
      </c>
      <c r="C376" s="426"/>
      <c r="D376" s="426"/>
      <c r="E376" s="426"/>
      <c r="F376" s="426"/>
      <c r="G376" s="426"/>
      <c r="H376" s="426"/>
      <c r="I376" s="426"/>
      <c r="J376" s="426"/>
      <c r="K376" s="426"/>
      <c r="L376" s="427"/>
      <c r="M376" s="78"/>
    </row>
    <row r="377" spans="1:14" x14ac:dyDescent="0.2">
      <c r="A377" s="79"/>
      <c r="B377" s="76" t="s">
        <v>497</v>
      </c>
      <c r="C377" s="80"/>
      <c r="D377" s="80"/>
      <c r="E377" s="91"/>
      <c r="F377" s="80">
        <v>0.06</v>
      </c>
      <c r="G377" s="80">
        <f>224.06-(1.08*4)-(2.37*2)</f>
        <v>215</v>
      </c>
      <c r="H377" s="80">
        <f>TRUNC(G377*F377,2)</f>
        <v>12.9</v>
      </c>
      <c r="I377" s="80"/>
      <c r="J377" s="80"/>
      <c r="K377" s="80"/>
      <c r="L377" s="81">
        <f>H377</f>
        <v>12.9</v>
      </c>
      <c r="M377" s="82"/>
    </row>
    <row r="378" spans="1:14" x14ac:dyDescent="0.2">
      <c r="A378" s="79"/>
      <c r="B378" s="83" t="s">
        <v>8</v>
      </c>
      <c r="C378" s="84"/>
      <c r="D378" s="84"/>
      <c r="E378" s="84"/>
      <c r="F378" s="84"/>
      <c r="G378" s="84"/>
      <c r="H378" s="84"/>
      <c r="I378" s="84"/>
      <c r="J378" s="84"/>
      <c r="K378" s="84"/>
      <c r="L378" s="85">
        <f>L377</f>
        <v>12.9</v>
      </c>
      <c r="M378" s="86" t="s">
        <v>36</v>
      </c>
    </row>
    <row r="379" spans="1:14" x14ac:dyDescent="0.2">
      <c r="A379" s="78"/>
      <c r="B379" s="91"/>
      <c r="C379" s="91"/>
      <c r="D379" s="91"/>
      <c r="E379" s="91"/>
      <c r="F379" s="91"/>
      <c r="G379" s="91"/>
      <c r="H379" s="91"/>
      <c r="I379" s="91"/>
      <c r="J379" s="91"/>
      <c r="K379" s="91"/>
      <c r="L379" s="87"/>
      <c r="M379" s="88"/>
    </row>
    <row r="380" spans="1:14" x14ac:dyDescent="0.2">
      <c r="A380" s="89" t="s">
        <v>110</v>
      </c>
      <c r="B380" s="405" t="str">
        <f>'Planilha Orçamentária'!D56</f>
        <v>Meio-fio de concreto pré-moldado com dimensões de 15x12x30x100 cm , rejuntados com argamassa de cimento e areia no traço 1:3</v>
      </c>
      <c r="C380" s="405"/>
      <c r="D380" s="405"/>
      <c r="E380" s="405"/>
      <c r="F380" s="405"/>
      <c r="G380" s="405"/>
      <c r="H380" s="405"/>
      <c r="I380" s="405"/>
      <c r="J380" s="405"/>
      <c r="K380" s="405"/>
      <c r="L380" s="406"/>
      <c r="M380" s="78"/>
    </row>
    <row r="381" spans="1:14" x14ac:dyDescent="0.2">
      <c r="A381" s="90"/>
      <c r="B381" s="91" t="s">
        <v>226</v>
      </c>
      <c r="C381" s="80">
        <v>4</v>
      </c>
      <c r="D381" s="80">
        <v>4.16</v>
      </c>
      <c r="E381" s="80"/>
      <c r="F381" s="80"/>
      <c r="G381" s="80"/>
      <c r="H381" s="80"/>
      <c r="I381" s="80"/>
      <c r="J381" s="80"/>
      <c r="K381" s="80"/>
      <c r="L381" s="81">
        <f>TRUNC(C381*D381,2)</f>
        <v>16.64</v>
      </c>
      <c r="M381" s="82"/>
    </row>
    <row r="382" spans="1:14" x14ac:dyDescent="0.2">
      <c r="A382" s="90"/>
      <c r="B382" s="91" t="s">
        <v>227</v>
      </c>
      <c r="C382" s="80">
        <v>2</v>
      </c>
      <c r="D382" s="80">
        <v>6.16</v>
      </c>
      <c r="E382" s="80"/>
      <c r="F382" s="80"/>
      <c r="G382" s="80"/>
      <c r="H382" s="80"/>
      <c r="I382" s="80"/>
      <c r="J382" s="80"/>
      <c r="K382" s="80"/>
      <c r="L382" s="81">
        <f>TRUNC(C382*D382,2)</f>
        <v>12.32</v>
      </c>
      <c r="M382" s="82"/>
    </row>
    <row r="383" spans="1:14" x14ac:dyDescent="0.2">
      <c r="A383" s="90"/>
      <c r="B383" s="91" t="s">
        <v>228</v>
      </c>
      <c r="C383" s="80"/>
      <c r="D383" s="80">
        <v>76.400000000000006</v>
      </c>
      <c r="E383" s="80"/>
      <c r="F383" s="80"/>
      <c r="G383" s="80"/>
      <c r="H383" s="80"/>
      <c r="I383" s="80"/>
      <c r="J383" s="80"/>
      <c r="K383" s="80"/>
      <c r="L383" s="81">
        <f>D383</f>
        <v>76.400000000000006</v>
      </c>
      <c r="M383" s="82"/>
    </row>
    <row r="384" spans="1:14" x14ac:dyDescent="0.2">
      <c r="A384" s="90"/>
      <c r="B384" s="92" t="s">
        <v>8</v>
      </c>
      <c r="C384" s="84"/>
      <c r="D384" s="84"/>
      <c r="E384" s="84"/>
      <c r="F384" s="84"/>
      <c r="G384" s="84"/>
      <c r="H384" s="84"/>
      <c r="I384" s="84"/>
      <c r="J384" s="84"/>
      <c r="K384" s="84"/>
      <c r="L384" s="85">
        <f>SUM(L381:L383)</f>
        <v>105.36000000000001</v>
      </c>
      <c r="M384" s="86" t="s">
        <v>22</v>
      </c>
    </row>
    <row r="385" spans="1:13" x14ac:dyDescent="0.2">
      <c r="A385" s="78"/>
      <c r="B385" s="91"/>
      <c r="C385" s="91"/>
      <c r="D385" s="91"/>
      <c r="E385" s="91"/>
      <c r="F385" s="91"/>
      <c r="G385" s="91"/>
      <c r="H385" s="91"/>
      <c r="I385" s="91"/>
      <c r="J385" s="91"/>
      <c r="K385" s="91"/>
      <c r="L385" s="87"/>
      <c r="M385" s="78"/>
    </row>
    <row r="386" spans="1:13" x14ac:dyDescent="0.2">
      <c r="A386" s="89" t="s">
        <v>112</v>
      </c>
      <c r="B386" s="405" t="str">
        <f>'Planilha Orçamentária'!D57</f>
        <v>Fôrma de chapa compensada resinada 12mm, levando-se em conta a utilização 3 vezes (incluido o material, corte, montagem, escoramento e desfôrma)</v>
      </c>
      <c r="C386" s="405"/>
      <c r="D386" s="405"/>
      <c r="E386" s="405"/>
      <c r="F386" s="405"/>
      <c r="G386" s="405"/>
      <c r="H386" s="405"/>
      <c r="I386" s="405"/>
      <c r="J386" s="405"/>
      <c r="K386" s="405"/>
      <c r="L386" s="406"/>
      <c r="M386" s="78"/>
    </row>
    <row r="387" spans="1:13" x14ac:dyDescent="0.2">
      <c r="A387" s="79"/>
      <c r="B387" s="76" t="s">
        <v>498</v>
      </c>
      <c r="C387" s="80"/>
      <c r="D387" s="80">
        <v>40.82</v>
      </c>
      <c r="E387" s="80"/>
      <c r="F387" s="80">
        <v>0.06</v>
      </c>
      <c r="G387" s="80"/>
      <c r="H387" s="80"/>
      <c r="I387" s="80"/>
      <c r="J387" s="80"/>
      <c r="K387" s="80"/>
      <c r="L387" s="81">
        <f>TRUNC(D387*F387,2)</f>
        <v>2.44</v>
      </c>
      <c r="M387" s="93"/>
    </row>
    <row r="388" spans="1:13" x14ac:dyDescent="0.2">
      <c r="A388" s="79"/>
      <c r="B388" s="83" t="s">
        <v>8</v>
      </c>
      <c r="C388" s="84"/>
      <c r="D388" s="84"/>
      <c r="E388" s="84"/>
      <c r="F388" s="84"/>
      <c r="G388" s="84"/>
      <c r="H388" s="84"/>
      <c r="I388" s="84"/>
      <c r="J388" s="84"/>
      <c r="K388" s="84"/>
      <c r="L388" s="85">
        <f>L387</f>
        <v>2.44</v>
      </c>
      <c r="M388" s="86" t="s">
        <v>18</v>
      </c>
    </row>
    <row r="389" spans="1:13" s="122" customFormat="1" x14ac:dyDescent="0.2">
      <c r="A389" s="321"/>
      <c r="B389" s="123"/>
      <c r="C389" s="322"/>
      <c r="D389" s="322"/>
      <c r="E389" s="322"/>
      <c r="F389" s="322"/>
      <c r="G389" s="322"/>
      <c r="H389" s="322"/>
      <c r="I389" s="322"/>
      <c r="J389" s="322"/>
      <c r="K389" s="322"/>
      <c r="L389" s="323"/>
      <c r="M389" s="124"/>
    </row>
    <row r="390" spans="1:13" s="128" customFormat="1" x14ac:dyDescent="0.2">
      <c r="A390" s="126" t="s">
        <v>113</v>
      </c>
      <c r="B390" s="404" t="str">
        <f>'Planilha Orçamentária'!D58</f>
        <v>Fornecimento e instalação de grama sintética para playgrounds, esp. 12 mm, inclusive aplicação com cola de contato</v>
      </c>
      <c r="C390" s="394"/>
      <c r="D390" s="394"/>
      <c r="E390" s="394"/>
      <c r="F390" s="394"/>
      <c r="G390" s="394"/>
      <c r="H390" s="394"/>
      <c r="I390" s="394"/>
      <c r="J390" s="394"/>
      <c r="K390" s="394"/>
      <c r="L390" s="395"/>
      <c r="M390" s="127"/>
    </row>
    <row r="391" spans="1:13" s="128" customFormat="1" x14ac:dyDescent="0.2">
      <c r="A391" s="129"/>
      <c r="B391" s="130" t="s">
        <v>684</v>
      </c>
      <c r="C391" s="131"/>
      <c r="D391" s="131"/>
      <c r="E391" s="131"/>
      <c r="F391" s="131"/>
      <c r="G391" s="131">
        <v>141.88999999999999</v>
      </c>
      <c r="H391" s="131"/>
      <c r="I391" s="131"/>
      <c r="J391" s="131"/>
      <c r="K391" s="131"/>
      <c r="L391" s="132">
        <f>G391</f>
        <v>141.88999999999999</v>
      </c>
      <c r="M391" s="133"/>
    </row>
    <row r="392" spans="1:13" s="128" customFormat="1" x14ac:dyDescent="0.2">
      <c r="A392" s="129"/>
      <c r="B392" s="134" t="s">
        <v>8</v>
      </c>
      <c r="C392" s="135"/>
      <c r="D392" s="135"/>
      <c r="E392" s="135"/>
      <c r="F392" s="135"/>
      <c r="G392" s="135"/>
      <c r="H392" s="135"/>
      <c r="I392" s="135"/>
      <c r="J392" s="135"/>
      <c r="K392" s="135"/>
      <c r="L392" s="136">
        <f>SUM(L391:L391)</f>
        <v>141.88999999999999</v>
      </c>
      <c r="M392" s="137" t="s">
        <v>18</v>
      </c>
    </row>
    <row r="393" spans="1:13" s="128" customFormat="1" x14ac:dyDescent="0.2">
      <c r="A393" s="127"/>
      <c r="B393" s="143"/>
      <c r="C393" s="143"/>
      <c r="D393" s="143"/>
      <c r="E393" s="143"/>
      <c r="F393" s="143"/>
      <c r="G393" s="143"/>
      <c r="H393" s="143"/>
      <c r="I393" s="143"/>
      <c r="J393" s="143"/>
      <c r="K393" s="143"/>
      <c r="L393" s="139"/>
      <c r="M393" s="140"/>
    </row>
    <row r="394" spans="1:13" s="128" customFormat="1" x14ac:dyDescent="0.2">
      <c r="A394" s="141" t="s">
        <v>116</v>
      </c>
      <c r="B394" s="396" t="str">
        <f>'Planilha Orçamentária'!D59</f>
        <v>Fornecimento e instalação de piso emborrachado para playgrounds, esp. 40 mm, inclusive aplicação com cola poliuretano monocomponente</v>
      </c>
      <c r="C394" s="396"/>
      <c r="D394" s="396"/>
      <c r="E394" s="396"/>
      <c r="F394" s="396"/>
      <c r="G394" s="396"/>
      <c r="H394" s="396"/>
      <c r="I394" s="396"/>
      <c r="J394" s="396"/>
      <c r="K394" s="396"/>
      <c r="L394" s="397"/>
      <c r="M394" s="127"/>
    </row>
    <row r="395" spans="1:13" s="128" customFormat="1" x14ac:dyDescent="0.2">
      <c r="A395" s="142"/>
      <c r="B395" s="143" t="s">
        <v>685</v>
      </c>
      <c r="C395" s="131"/>
      <c r="D395" s="131"/>
      <c r="E395" s="131"/>
      <c r="F395" s="131"/>
      <c r="G395" s="131">
        <v>62.18</v>
      </c>
      <c r="H395" s="131"/>
      <c r="I395" s="131"/>
      <c r="J395" s="131"/>
      <c r="K395" s="131"/>
      <c r="L395" s="132">
        <f>G395</f>
        <v>62.18</v>
      </c>
      <c r="M395" s="133"/>
    </row>
    <row r="396" spans="1:13" s="128" customFormat="1" x14ac:dyDescent="0.2">
      <c r="A396" s="142"/>
      <c r="B396" s="144" t="s">
        <v>8</v>
      </c>
      <c r="C396" s="135"/>
      <c r="D396" s="135"/>
      <c r="E396" s="135"/>
      <c r="F396" s="135"/>
      <c r="G396" s="135"/>
      <c r="H396" s="135"/>
      <c r="I396" s="135"/>
      <c r="J396" s="135"/>
      <c r="K396" s="135"/>
      <c r="L396" s="136">
        <f>SUM(L395:L395)</f>
        <v>62.18</v>
      </c>
      <c r="M396" s="137" t="s">
        <v>18</v>
      </c>
    </row>
    <row r="397" spans="1:13" s="128" customFormat="1" x14ac:dyDescent="0.2">
      <c r="A397" s="127"/>
      <c r="B397" s="143"/>
      <c r="C397" s="143"/>
      <c r="D397" s="143"/>
      <c r="E397" s="143"/>
      <c r="F397" s="143"/>
      <c r="G397" s="143"/>
      <c r="H397" s="143"/>
      <c r="I397" s="143"/>
      <c r="J397" s="143"/>
      <c r="K397" s="143"/>
      <c r="L397" s="139"/>
      <c r="M397" s="127"/>
    </row>
    <row r="398" spans="1:13" s="128" customFormat="1" ht="30" customHeight="1" x14ac:dyDescent="0.2">
      <c r="A398" s="141" t="s">
        <v>119</v>
      </c>
      <c r="B398" s="396" t="str">
        <f>'Planilha Orçamentária'!D60</f>
        <v>Fornecimento e instalação de brinquedos de ferro, confeccionados em tubo a vapor e pintura esmalte sintético (escorregador de 2 m de comprimento, balanço de 2 lugares, gira-gira de 8 lugares e gangorra de 3 pranchas) e um cestão de madeira tratada em autoclave, conforme projeto.</v>
      </c>
      <c r="C398" s="396"/>
      <c r="D398" s="396"/>
      <c r="E398" s="396"/>
      <c r="F398" s="396"/>
      <c r="G398" s="396"/>
      <c r="H398" s="396"/>
      <c r="I398" s="396"/>
      <c r="J398" s="396"/>
      <c r="K398" s="396"/>
      <c r="L398" s="397"/>
      <c r="M398" s="127"/>
    </row>
    <row r="399" spans="1:13" s="128" customFormat="1" x14ac:dyDescent="0.2">
      <c r="A399" s="129"/>
      <c r="B399" s="130" t="s">
        <v>229</v>
      </c>
      <c r="C399" s="131">
        <v>1</v>
      </c>
      <c r="D399" s="131"/>
      <c r="E399" s="145"/>
      <c r="F399" s="131"/>
      <c r="G399" s="131"/>
      <c r="H399" s="131"/>
      <c r="I399" s="131"/>
      <c r="J399" s="131"/>
      <c r="K399" s="131"/>
      <c r="L399" s="132">
        <f>C399</f>
        <v>1</v>
      </c>
      <c r="M399" s="146"/>
    </row>
    <row r="400" spans="1:13" s="128" customFormat="1" x14ac:dyDescent="0.2">
      <c r="A400" s="129"/>
      <c r="B400" s="134" t="s">
        <v>8</v>
      </c>
      <c r="C400" s="135"/>
      <c r="D400" s="135"/>
      <c r="E400" s="135"/>
      <c r="F400" s="135"/>
      <c r="G400" s="135"/>
      <c r="H400" s="135"/>
      <c r="I400" s="135"/>
      <c r="J400" s="135"/>
      <c r="K400" s="135"/>
      <c r="L400" s="136">
        <f>L399</f>
        <v>1</v>
      </c>
      <c r="M400" s="137" t="s">
        <v>32</v>
      </c>
    </row>
    <row r="401" spans="1:13" s="128" customFormat="1" x14ac:dyDescent="0.2">
      <c r="A401" s="130"/>
      <c r="B401" s="147"/>
      <c r="C401" s="143"/>
      <c r="D401" s="143"/>
      <c r="E401" s="143"/>
      <c r="F401" s="143"/>
      <c r="G401" s="143"/>
      <c r="H401" s="143"/>
      <c r="I401" s="143"/>
      <c r="J401" s="143"/>
      <c r="K401" s="143"/>
      <c r="L401" s="324"/>
      <c r="M401" s="140"/>
    </row>
    <row r="402" spans="1:13" s="128" customFormat="1" x14ac:dyDescent="0.2">
      <c r="A402" s="126" t="s">
        <v>124</v>
      </c>
      <c r="B402" s="404" t="str">
        <f>'Planilha Orçamentária'!D61</f>
        <v>Chapisco com argamassa de cimento e areia média ou grossa lavada no traço 1:3, espessura 5 mm</v>
      </c>
      <c r="C402" s="394"/>
      <c r="D402" s="394"/>
      <c r="E402" s="394"/>
      <c r="F402" s="394"/>
      <c r="G402" s="394"/>
      <c r="H402" s="394"/>
      <c r="I402" s="394"/>
      <c r="J402" s="394"/>
      <c r="K402" s="394"/>
      <c r="L402" s="395"/>
      <c r="M402" s="127"/>
    </row>
    <row r="403" spans="1:13" s="128" customFormat="1" x14ac:dyDescent="0.2">
      <c r="A403" s="142"/>
      <c r="B403" s="130" t="s">
        <v>230</v>
      </c>
      <c r="C403" s="131"/>
      <c r="D403" s="131">
        <v>25.8</v>
      </c>
      <c r="E403" s="131"/>
      <c r="F403" s="131">
        <v>1.25</v>
      </c>
      <c r="G403" s="131">
        <f>TRUNC(F403*D403,2)</f>
        <v>32.25</v>
      </c>
      <c r="H403" s="131"/>
      <c r="I403" s="131"/>
      <c r="J403" s="131"/>
      <c r="K403" s="131"/>
      <c r="L403" s="132">
        <f>G403</f>
        <v>32.25</v>
      </c>
      <c r="M403" s="133"/>
    </row>
    <row r="404" spans="1:13" s="128" customFormat="1" x14ac:dyDescent="0.2">
      <c r="A404" s="129"/>
      <c r="B404" s="134" t="s">
        <v>8</v>
      </c>
      <c r="C404" s="135"/>
      <c r="D404" s="135"/>
      <c r="E404" s="135"/>
      <c r="F404" s="135"/>
      <c r="G404" s="135"/>
      <c r="H404" s="135"/>
      <c r="I404" s="135"/>
      <c r="J404" s="135"/>
      <c r="K404" s="135"/>
      <c r="L404" s="136">
        <f>SUM(L403:L403)</f>
        <v>32.25</v>
      </c>
      <c r="M404" s="137" t="s">
        <v>18</v>
      </c>
    </row>
    <row r="405" spans="1:13" s="128" customFormat="1" x14ac:dyDescent="0.2">
      <c r="A405" s="127"/>
      <c r="B405" s="143"/>
      <c r="C405" s="143"/>
      <c r="D405" s="143"/>
      <c r="E405" s="143"/>
      <c r="F405" s="143"/>
      <c r="G405" s="143"/>
      <c r="H405" s="143"/>
      <c r="I405" s="143"/>
      <c r="J405" s="143"/>
      <c r="K405" s="143"/>
      <c r="L405" s="139"/>
      <c r="M405" s="140"/>
    </row>
    <row r="406" spans="1:13" s="128" customFormat="1" x14ac:dyDescent="0.2">
      <c r="A406" s="141" t="s">
        <v>127</v>
      </c>
      <c r="B406" s="396" t="str">
        <f>'Planilha Orçamentária'!D62</f>
        <v>Reboco tipo paulista de argamassa de cimento, cal hidratada CH1 e areia lavada traço 1:0.5:6, espessura 25 mm</v>
      </c>
      <c r="C406" s="396"/>
      <c r="D406" s="396"/>
      <c r="E406" s="396"/>
      <c r="F406" s="396"/>
      <c r="G406" s="396"/>
      <c r="H406" s="396"/>
      <c r="I406" s="396"/>
      <c r="J406" s="396"/>
      <c r="K406" s="396"/>
      <c r="L406" s="397"/>
      <c r="M406" s="127"/>
    </row>
    <row r="407" spans="1:13" s="128" customFormat="1" x14ac:dyDescent="0.2">
      <c r="A407" s="142"/>
      <c r="B407" s="130" t="s">
        <v>230</v>
      </c>
      <c r="C407" s="131"/>
      <c r="D407" s="131">
        <v>25.8</v>
      </c>
      <c r="E407" s="131"/>
      <c r="F407" s="131">
        <v>1.25</v>
      </c>
      <c r="G407" s="131">
        <f>TRUNC(F407*D407,2)</f>
        <v>32.25</v>
      </c>
      <c r="H407" s="131"/>
      <c r="I407" s="131"/>
      <c r="J407" s="131"/>
      <c r="K407" s="131"/>
      <c r="L407" s="132">
        <f>G407</f>
        <v>32.25</v>
      </c>
      <c r="M407" s="133"/>
    </row>
    <row r="408" spans="1:13" s="128" customFormat="1" x14ac:dyDescent="0.2">
      <c r="A408" s="142"/>
      <c r="B408" s="144" t="s">
        <v>8</v>
      </c>
      <c r="C408" s="135"/>
      <c r="D408" s="135"/>
      <c r="E408" s="135"/>
      <c r="F408" s="135"/>
      <c r="G408" s="135"/>
      <c r="H408" s="135"/>
      <c r="I408" s="135"/>
      <c r="J408" s="135"/>
      <c r="K408" s="135"/>
      <c r="L408" s="136">
        <f>SUM(L407:L407)</f>
        <v>32.25</v>
      </c>
      <c r="M408" s="137" t="s">
        <v>18</v>
      </c>
    </row>
    <row r="409" spans="1:13" s="128" customFormat="1" x14ac:dyDescent="0.2">
      <c r="A409" s="127"/>
      <c r="B409" s="143"/>
      <c r="C409" s="143"/>
      <c r="D409" s="143"/>
      <c r="E409" s="143"/>
      <c r="F409" s="143"/>
      <c r="G409" s="143"/>
      <c r="H409" s="143"/>
      <c r="I409" s="143"/>
      <c r="J409" s="143"/>
      <c r="K409" s="143"/>
      <c r="L409" s="139"/>
      <c r="M409" s="127"/>
    </row>
    <row r="410" spans="1:13" s="128" customFormat="1" x14ac:dyDescent="0.2">
      <c r="A410" s="141" t="s">
        <v>223</v>
      </c>
      <c r="B410" s="396" t="str">
        <f>'Planilha Orçamentária'!D63</f>
        <v>Pintura com tinta acrílica Suvinil, Coral ou Metalatex, inclusive selador acrílico, em paredes externas a três demãos</v>
      </c>
      <c r="C410" s="396"/>
      <c r="D410" s="396"/>
      <c r="E410" s="396"/>
      <c r="F410" s="396"/>
      <c r="G410" s="396"/>
      <c r="H410" s="396"/>
      <c r="I410" s="396"/>
      <c r="J410" s="396"/>
      <c r="K410" s="396"/>
      <c r="L410" s="397"/>
      <c r="M410" s="127"/>
    </row>
    <row r="411" spans="1:13" s="128" customFormat="1" x14ac:dyDescent="0.2">
      <c r="A411" s="129"/>
      <c r="B411" s="130" t="s">
        <v>230</v>
      </c>
      <c r="C411" s="131"/>
      <c r="D411" s="131">
        <v>25.8</v>
      </c>
      <c r="E411" s="131"/>
      <c r="F411" s="131">
        <v>1.25</v>
      </c>
      <c r="G411" s="131">
        <f>TRUNC(F411*D411,2)</f>
        <v>32.25</v>
      </c>
      <c r="H411" s="131"/>
      <c r="I411" s="131"/>
      <c r="J411" s="131"/>
      <c r="K411" s="131"/>
      <c r="L411" s="132">
        <f>G411</f>
        <v>32.25</v>
      </c>
      <c r="M411" s="146"/>
    </row>
    <row r="412" spans="1:13" s="128" customFormat="1" x14ac:dyDescent="0.2">
      <c r="A412" s="129"/>
      <c r="B412" s="134" t="s">
        <v>8</v>
      </c>
      <c r="C412" s="135"/>
      <c r="D412" s="135"/>
      <c r="E412" s="135"/>
      <c r="F412" s="135"/>
      <c r="G412" s="135"/>
      <c r="H412" s="135"/>
      <c r="I412" s="135"/>
      <c r="J412" s="135"/>
      <c r="K412" s="135"/>
      <c r="L412" s="136">
        <f>L411</f>
        <v>32.25</v>
      </c>
      <c r="M412" s="137" t="s">
        <v>18</v>
      </c>
    </row>
    <row r="413" spans="1:13" s="128" customFormat="1" x14ac:dyDescent="0.2">
      <c r="A413" s="130"/>
      <c r="B413" s="147"/>
      <c r="C413" s="143"/>
      <c r="D413" s="143"/>
      <c r="E413" s="143"/>
      <c r="F413" s="143"/>
      <c r="G413" s="143"/>
      <c r="H413" s="143"/>
      <c r="I413" s="143"/>
      <c r="J413" s="143"/>
      <c r="K413" s="143"/>
      <c r="L413" s="324"/>
      <c r="M413" s="140"/>
    </row>
    <row r="414" spans="1:13" s="128" customFormat="1" x14ac:dyDescent="0.2">
      <c r="A414" s="126" t="s">
        <v>224</v>
      </c>
      <c r="B414" s="398" t="str">
        <f>'Planilha Orçamentária'!D64</f>
        <v>Alambrado c/ tela losangular de arame fio 12 malha 2" revest. em PVC com tubo de ferro galvanizado vertical de 2 1/2" e horizontal de 1" incl. Portão, pintados com esmalte sobre fundo anticorrosivo</v>
      </c>
      <c r="C414" s="396"/>
      <c r="D414" s="396"/>
      <c r="E414" s="396"/>
      <c r="F414" s="396"/>
      <c r="G414" s="396"/>
      <c r="H414" s="396"/>
      <c r="I414" s="396"/>
      <c r="J414" s="396"/>
      <c r="K414" s="396"/>
      <c r="L414" s="397"/>
      <c r="M414" s="127"/>
    </row>
    <row r="415" spans="1:13" s="128" customFormat="1" x14ac:dyDescent="0.2">
      <c r="A415" s="129"/>
      <c r="B415" s="130" t="s">
        <v>231</v>
      </c>
      <c r="C415" s="131"/>
      <c r="D415" s="131">
        <v>40.82</v>
      </c>
      <c r="E415" s="131">
        <v>1</v>
      </c>
      <c r="F415" s="131"/>
      <c r="G415" s="131">
        <f>TRUNC(D415*E415,2)</f>
        <v>40.82</v>
      </c>
      <c r="H415" s="131"/>
      <c r="I415" s="131"/>
      <c r="J415" s="131"/>
      <c r="K415" s="131"/>
      <c r="L415" s="132">
        <f>G415</f>
        <v>40.82</v>
      </c>
      <c r="M415" s="133"/>
    </row>
    <row r="416" spans="1:13" s="128" customFormat="1" x14ac:dyDescent="0.2">
      <c r="A416" s="129"/>
      <c r="B416" s="130" t="s">
        <v>232</v>
      </c>
      <c r="C416" s="131"/>
      <c r="D416" s="131">
        <v>25.8</v>
      </c>
      <c r="E416" s="131">
        <v>1.1000000000000001</v>
      </c>
      <c r="F416" s="131"/>
      <c r="G416" s="131">
        <f>TRUNC(D416*E416,2)</f>
        <v>28.38</v>
      </c>
      <c r="H416" s="131"/>
      <c r="I416" s="131"/>
      <c r="J416" s="131"/>
      <c r="K416" s="131"/>
      <c r="L416" s="132">
        <f>G416</f>
        <v>28.38</v>
      </c>
      <c r="M416" s="133"/>
    </row>
    <row r="417" spans="1:13" s="128" customFormat="1" x14ac:dyDescent="0.2">
      <c r="A417" s="129"/>
      <c r="B417" s="134" t="s">
        <v>8</v>
      </c>
      <c r="C417" s="135"/>
      <c r="D417" s="135"/>
      <c r="E417" s="135"/>
      <c r="F417" s="135"/>
      <c r="G417" s="135"/>
      <c r="H417" s="135"/>
      <c r="I417" s="135"/>
      <c r="J417" s="135"/>
      <c r="K417" s="135"/>
      <c r="L417" s="136">
        <f>SUM(L415:L416)</f>
        <v>69.2</v>
      </c>
      <c r="M417" s="137" t="s">
        <v>18</v>
      </c>
    </row>
    <row r="418" spans="1:13" s="128" customFormat="1" x14ac:dyDescent="0.2">
      <c r="A418" s="130"/>
      <c r="B418" s="147"/>
      <c r="C418" s="143"/>
      <c r="D418" s="143"/>
      <c r="E418" s="143"/>
      <c r="F418" s="143"/>
      <c r="G418" s="143"/>
      <c r="H418" s="143"/>
      <c r="I418" s="143"/>
      <c r="J418" s="143"/>
      <c r="K418" s="143"/>
      <c r="L418" s="324"/>
      <c r="M418" s="140"/>
    </row>
    <row r="419" spans="1:13" s="122" customFormat="1" x14ac:dyDescent="0.2">
      <c r="A419" s="74" t="s">
        <v>130</v>
      </c>
      <c r="B419" s="399" t="str">
        <f>'Planilha Orçamentária'!D67</f>
        <v>CAMPO DE AREIA</v>
      </c>
      <c r="C419" s="400"/>
      <c r="D419" s="400"/>
      <c r="E419" s="400"/>
      <c r="F419" s="400"/>
      <c r="G419" s="400"/>
      <c r="H419" s="400"/>
      <c r="I419" s="400"/>
      <c r="J419" s="400"/>
      <c r="K419" s="400"/>
      <c r="L419" s="401"/>
      <c r="M419" s="125"/>
    </row>
    <row r="420" spans="1:13" s="128" customFormat="1" x14ac:dyDescent="0.2">
      <c r="A420" s="126" t="s">
        <v>132</v>
      </c>
      <c r="B420" s="310" t="str">
        <f>'Planilha Orçamentária'!D68</f>
        <v xml:space="preserve">Drenagem </v>
      </c>
      <c r="C420" s="311"/>
      <c r="D420" s="311"/>
      <c r="E420" s="311"/>
      <c r="F420" s="311"/>
      <c r="G420" s="311"/>
      <c r="H420" s="311"/>
      <c r="I420" s="311"/>
      <c r="J420" s="311"/>
      <c r="K420" s="311"/>
      <c r="L420" s="148"/>
      <c r="M420" s="138"/>
    </row>
    <row r="421" spans="1:13" s="151" customFormat="1" x14ac:dyDescent="0.2">
      <c r="A421" s="149" t="s">
        <v>134</v>
      </c>
      <c r="B421" s="398" t="str">
        <f>'Planilha Orçamentária'!D69</f>
        <v>Tubo dreno, corrugado, espiralado, flexível, perfurado, em polietileno de alta densidade (PEAD), DN 100 mm, (4"), para drenagem - em rolo (Norma DNIT 093/2006 - E.M.) - fornecimento e instalação</v>
      </c>
      <c r="C421" s="396"/>
      <c r="D421" s="396"/>
      <c r="E421" s="396"/>
      <c r="F421" s="396"/>
      <c r="G421" s="396"/>
      <c r="H421" s="396"/>
      <c r="I421" s="396"/>
      <c r="J421" s="396"/>
      <c r="K421" s="396"/>
      <c r="L421" s="397"/>
      <c r="M421" s="150"/>
    </row>
    <row r="422" spans="1:13" s="128" customFormat="1" x14ac:dyDescent="0.2">
      <c r="A422" s="129"/>
      <c r="B422" s="152" t="s">
        <v>687</v>
      </c>
      <c r="C422" s="131"/>
      <c r="D422" s="131">
        <v>61.5</v>
      </c>
      <c r="E422" s="143"/>
      <c r="F422" s="131"/>
      <c r="G422" s="131"/>
      <c r="H422" s="131"/>
      <c r="I422" s="131"/>
      <c r="J422" s="131"/>
      <c r="K422" s="131"/>
      <c r="L422" s="132">
        <f>D422</f>
        <v>61.5</v>
      </c>
      <c r="M422" s="133"/>
    </row>
    <row r="423" spans="1:13" s="128" customFormat="1" x14ac:dyDescent="0.2">
      <c r="A423" s="129"/>
      <c r="B423" s="134" t="s">
        <v>8</v>
      </c>
      <c r="C423" s="135"/>
      <c r="D423" s="135"/>
      <c r="E423" s="135"/>
      <c r="F423" s="135"/>
      <c r="G423" s="135"/>
      <c r="H423" s="135"/>
      <c r="I423" s="135"/>
      <c r="J423" s="135"/>
      <c r="K423" s="135"/>
      <c r="L423" s="136">
        <f>L422</f>
        <v>61.5</v>
      </c>
      <c r="M423" s="137" t="s">
        <v>22</v>
      </c>
    </row>
    <row r="424" spans="1:13" s="128" customFormat="1" x14ac:dyDescent="0.2">
      <c r="A424" s="127"/>
      <c r="B424" s="143"/>
      <c r="C424" s="143"/>
      <c r="D424" s="143"/>
      <c r="E424" s="143"/>
      <c r="F424" s="143"/>
      <c r="G424" s="143"/>
      <c r="H424" s="143"/>
      <c r="I424" s="143"/>
      <c r="J424" s="143"/>
      <c r="K424" s="143"/>
      <c r="L424" s="139"/>
      <c r="M424" s="140"/>
    </row>
    <row r="425" spans="1:13" s="160" customFormat="1" x14ac:dyDescent="0.2">
      <c r="A425" s="158" t="s">
        <v>137</v>
      </c>
      <c r="B425" s="402" t="str">
        <f>'Planilha Orçamentária'!D70</f>
        <v>Manta Geotextil de poliester Bidim RT-16</v>
      </c>
      <c r="C425" s="402"/>
      <c r="D425" s="402"/>
      <c r="E425" s="402"/>
      <c r="F425" s="402"/>
      <c r="G425" s="402"/>
      <c r="H425" s="402"/>
      <c r="I425" s="402"/>
      <c r="J425" s="402"/>
      <c r="K425" s="402"/>
      <c r="L425" s="403"/>
      <c r="M425" s="159"/>
    </row>
    <row r="426" spans="1:13" s="160" customFormat="1" x14ac:dyDescent="0.2">
      <c r="A426" s="161"/>
      <c r="B426" s="162" t="s">
        <v>686</v>
      </c>
      <c r="C426" s="163"/>
      <c r="D426" s="163">
        <v>61.5</v>
      </c>
      <c r="E426" s="163">
        <v>0.6</v>
      </c>
      <c r="F426" s="163">
        <v>0.35</v>
      </c>
      <c r="G426" s="163">
        <f>TRUNC((E426*D426*2)+(F426*D426*2),2)</f>
        <v>116.85</v>
      </c>
      <c r="H426" s="163"/>
      <c r="I426" s="163"/>
      <c r="J426" s="163"/>
      <c r="K426" s="163"/>
      <c r="L426" s="164">
        <f>G426</f>
        <v>116.85</v>
      </c>
      <c r="M426" s="165"/>
    </row>
    <row r="427" spans="1:13" s="160" customFormat="1" x14ac:dyDescent="0.2">
      <c r="A427" s="161"/>
      <c r="B427" s="166" t="s">
        <v>8</v>
      </c>
      <c r="C427" s="167"/>
      <c r="D427" s="167"/>
      <c r="E427" s="167"/>
      <c r="F427" s="167"/>
      <c r="G427" s="167"/>
      <c r="H427" s="167"/>
      <c r="I427" s="167"/>
      <c r="J427" s="167"/>
      <c r="K427" s="167"/>
      <c r="L427" s="168">
        <f>SUM(L426:L426)</f>
        <v>116.85</v>
      </c>
      <c r="M427" s="169" t="s">
        <v>22</v>
      </c>
    </row>
    <row r="428" spans="1:13" s="160" customFormat="1" x14ac:dyDescent="0.2">
      <c r="A428" s="159"/>
      <c r="B428" s="162"/>
      <c r="C428" s="162"/>
      <c r="D428" s="162"/>
      <c r="E428" s="162"/>
      <c r="F428" s="162"/>
      <c r="G428" s="162"/>
      <c r="H428" s="162"/>
      <c r="I428" s="162"/>
      <c r="J428" s="162"/>
      <c r="K428" s="162"/>
      <c r="L428" s="170"/>
      <c r="M428" s="159"/>
    </row>
    <row r="429" spans="1:13" s="128" customFormat="1" x14ac:dyDescent="0.2">
      <c r="A429" s="141" t="s">
        <v>139</v>
      </c>
      <c r="B429" s="396" t="str">
        <f>'Planilha Orçamentária'!D71</f>
        <v>Fornecimento e espalhamento de brita 1 ou 2</v>
      </c>
      <c r="C429" s="396"/>
      <c r="D429" s="396"/>
      <c r="E429" s="396"/>
      <c r="F429" s="396"/>
      <c r="G429" s="396"/>
      <c r="H429" s="396"/>
      <c r="I429" s="396"/>
      <c r="J429" s="396"/>
      <c r="K429" s="396"/>
      <c r="L429" s="397"/>
      <c r="M429" s="127"/>
    </row>
    <row r="430" spans="1:13" s="128" customFormat="1" x14ac:dyDescent="0.2">
      <c r="A430" s="129"/>
      <c r="B430" s="130" t="s">
        <v>686</v>
      </c>
      <c r="C430" s="131"/>
      <c r="D430" s="131">
        <v>61.5</v>
      </c>
      <c r="E430" s="131">
        <v>0.6</v>
      </c>
      <c r="F430" s="131">
        <v>0.35</v>
      </c>
      <c r="G430" s="131"/>
      <c r="H430" s="131">
        <f>D430*E430*F430</f>
        <v>12.914999999999999</v>
      </c>
      <c r="I430" s="131"/>
      <c r="J430" s="131"/>
      <c r="K430" s="131">
        <f>3.14*(0.1^2)*61.5</f>
        <v>1.9311000000000003</v>
      </c>
      <c r="L430" s="132">
        <f>H430-K430</f>
        <v>10.983899999999998</v>
      </c>
      <c r="M430" s="146"/>
    </row>
    <row r="431" spans="1:13" s="128" customFormat="1" x14ac:dyDescent="0.2">
      <c r="A431" s="129"/>
      <c r="B431" s="134" t="s">
        <v>8</v>
      </c>
      <c r="C431" s="135"/>
      <c r="D431" s="135"/>
      <c r="E431" s="135"/>
      <c r="F431" s="135"/>
      <c r="G431" s="135"/>
      <c r="H431" s="135"/>
      <c r="I431" s="135"/>
      <c r="J431" s="135"/>
      <c r="K431" s="135"/>
      <c r="L431" s="136">
        <f>L430</f>
        <v>10.983899999999998</v>
      </c>
      <c r="M431" s="137" t="s">
        <v>36</v>
      </c>
    </row>
    <row r="432" spans="1:13" s="128" customFormat="1" x14ac:dyDescent="0.2">
      <c r="A432" s="130"/>
      <c r="B432" s="147"/>
      <c r="C432" s="143"/>
      <c r="D432" s="143"/>
      <c r="E432" s="143"/>
      <c r="F432" s="143"/>
      <c r="G432" s="143"/>
      <c r="H432" s="143"/>
      <c r="I432" s="143"/>
      <c r="J432" s="143"/>
      <c r="K432" s="143"/>
      <c r="L432" s="324"/>
      <c r="M432" s="140"/>
    </row>
    <row r="433" spans="1:13" s="128" customFormat="1" x14ac:dyDescent="0.2">
      <c r="A433" s="126" t="s">
        <v>141</v>
      </c>
      <c r="B433" s="404" t="str">
        <f>'Planilha Orçamentária'!D72</f>
        <v>Escavação manual em material de 1a. categoria, até 1.50 m de profundidade</v>
      </c>
      <c r="C433" s="394"/>
      <c r="D433" s="394"/>
      <c r="E433" s="394"/>
      <c r="F433" s="394"/>
      <c r="G433" s="394"/>
      <c r="H433" s="394"/>
      <c r="I433" s="394"/>
      <c r="J433" s="394"/>
      <c r="K433" s="394"/>
      <c r="L433" s="395"/>
      <c r="M433" s="127"/>
    </row>
    <row r="434" spans="1:13" s="128" customFormat="1" x14ac:dyDescent="0.2">
      <c r="A434" s="129"/>
      <c r="B434" s="130" t="s">
        <v>688</v>
      </c>
      <c r="C434" s="131"/>
      <c r="D434" s="131">
        <v>61.5</v>
      </c>
      <c r="E434" s="131">
        <v>0.6</v>
      </c>
      <c r="F434" s="131">
        <v>0.35</v>
      </c>
      <c r="G434" s="131"/>
      <c r="H434" s="131">
        <f>D434*E434*F434</f>
        <v>12.914999999999999</v>
      </c>
      <c r="I434" s="131"/>
      <c r="J434" s="131"/>
      <c r="K434" s="131"/>
      <c r="L434" s="132">
        <f>H434</f>
        <v>12.914999999999999</v>
      </c>
      <c r="M434" s="133"/>
    </row>
    <row r="435" spans="1:13" s="128" customFormat="1" x14ac:dyDescent="0.2">
      <c r="A435" s="129"/>
      <c r="B435" s="134" t="s">
        <v>8</v>
      </c>
      <c r="C435" s="135"/>
      <c r="D435" s="135"/>
      <c r="E435" s="135"/>
      <c r="F435" s="135"/>
      <c r="G435" s="135"/>
      <c r="H435" s="135"/>
      <c r="I435" s="135"/>
      <c r="J435" s="135"/>
      <c r="K435" s="135"/>
      <c r="L435" s="136">
        <f>SUM(L434:L434)</f>
        <v>12.914999999999999</v>
      </c>
      <c r="M435" s="137" t="s">
        <v>36</v>
      </c>
    </row>
    <row r="436" spans="1:13" s="128" customFormat="1" x14ac:dyDescent="0.2">
      <c r="A436" s="127"/>
      <c r="B436" s="143"/>
      <c r="C436" s="143"/>
      <c r="D436" s="143"/>
      <c r="E436" s="143"/>
      <c r="F436" s="143"/>
      <c r="G436" s="143"/>
      <c r="H436" s="143"/>
      <c r="I436" s="143"/>
      <c r="J436" s="143"/>
      <c r="K436" s="143"/>
      <c r="L436" s="139"/>
      <c r="M436" s="140"/>
    </row>
    <row r="437" spans="1:13" s="128" customFormat="1" x14ac:dyDescent="0.2">
      <c r="A437" s="141" t="s">
        <v>142</v>
      </c>
      <c r="B437" s="396" t="str">
        <f>'Planilha Orçamentária'!D73</f>
        <v>Tubo PVC rígido para esgoto no diâmetro de 200mm incluindo escavação e aterro com areia</v>
      </c>
      <c r="C437" s="396"/>
      <c r="D437" s="396"/>
      <c r="E437" s="396"/>
      <c r="F437" s="396"/>
      <c r="G437" s="396"/>
      <c r="H437" s="396"/>
      <c r="I437" s="396"/>
      <c r="J437" s="396"/>
      <c r="K437" s="396"/>
      <c r="L437" s="397"/>
      <c r="M437" s="127"/>
    </row>
    <row r="438" spans="1:13" s="128" customFormat="1" x14ac:dyDescent="0.2">
      <c r="A438" s="142"/>
      <c r="B438" s="143" t="s">
        <v>686</v>
      </c>
      <c r="C438" s="131"/>
      <c r="D438" s="131">
        <v>2</v>
      </c>
      <c r="E438" s="131"/>
      <c r="F438" s="131"/>
      <c r="G438" s="131"/>
      <c r="H438" s="131"/>
      <c r="I438" s="131"/>
      <c r="J438" s="131"/>
      <c r="K438" s="131"/>
      <c r="L438" s="132">
        <f>D438</f>
        <v>2</v>
      </c>
      <c r="M438" s="133"/>
    </row>
    <row r="439" spans="1:13" s="128" customFormat="1" x14ac:dyDescent="0.2">
      <c r="A439" s="142"/>
      <c r="B439" s="144" t="s">
        <v>8</v>
      </c>
      <c r="C439" s="135"/>
      <c r="D439" s="135"/>
      <c r="E439" s="135"/>
      <c r="F439" s="135"/>
      <c r="G439" s="135"/>
      <c r="H439" s="135"/>
      <c r="I439" s="135"/>
      <c r="J439" s="135"/>
      <c r="K439" s="135"/>
      <c r="L439" s="136">
        <f>SUM(L438:L438)</f>
        <v>2</v>
      </c>
      <c r="M439" s="137" t="s">
        <v>22</v>
      </c>
    </row>
    <row r="440" spans="1:13" s="128" customFormat="1" x14ac:dyDescent="0.2">
      <c r="A440" s="127"/>
      <c r="B440" s="143"/>
      <c r="C440" s="143"/>
      <c r="D440" s="143"/>
      <c r="E440" s="143"/>
      <c r="F440" s="143"/>
      <c r="G440" s="143"/>
      <c r="H440" s="143"/>
      <c r="I440" s="143"/>
      <c r="J440" s="143"/>
      <c r="K440" s="143"/>
      <c r="L440" s="139"/>
      <c r="M440" s="127"/>
    </row>
    <row r="441" spans="1:13" s="128" customFormat="1" x14ac:dyDescent="0.2">
      <c r="A441" s="141" t="s">
        <v>143</v>
      </c>
      <c r="B441" s="396" t="str">
        <f>'Planilha Orçamentária'!D74</f>
        <v>Caixa de inspeção em alv. bloco concreto 9x19x39cm, dim. 60x60cm e Hmáx=1m, c/ tampa de ferro fundido 40x40cm, lastro de concreto esp.10cm, revest. interno c/ chapisco e reboco impermeabiliz, incl. escavação, reaterro e enchimento</v>
      </c>
      <c r="C441" s="396"/>
      <c r="D441" s="396"/>
      <c r="E441" s="396"/>
      <c r="F441" s="396"/>
      <c r="G441" s="396"/>
      <c r="H441" s="396"/>
      <c r="I441" s="396"/>
      <c r="J441" s="396"/>
      <c r="K441" s="396"/>
      <c r="L441" s="397"/>
      <c r="M441" s="127"/>
    </row>
    <row r="442" spans="1:13" s="128" customFormat="1" x14ac:dyDescent="0.2">
      <c r="A442" s="129"/>
      <c r="B442" s="130" t="s">
        <v>686</v>
      </c>
      <c r="C442" s="131">
        <v>1</v>
      </c>
      <c r="D442" s="131"/>
      <c r="E442" s="145"/>
      <c r="F442" s="131"/>
      <c r="G442" s="131"/>
      <c r="H442" s="131"/>
      <c r="I442" s="131"/>
      <c r="J442" s="131"/>
      <c r="K442" s="131"/>
      <c r="L442" s="132">
        <f>C442</f>
        <v>1</v>
      </c>
      <c r="M442" s="146"/>
    </row>
    <row r="443" spans="1:13" s="128" customFormat="1" x14ac:dyDescent="0.2">
      <c r="A443" s="129"/>
      <c r="B443" s="134" t="s">
        <v>8</v>
      </c>
      <c r="C443" s="135"/>
      <c r="D443" s="135"/>
      <c r="E443" s="135"/>
      <c r="F443" s="135"/>
      <c r="G443" s="135"/>
      <c r="H443" s="135"/>
      <c r="I443" s="135"/>
      <c r="J443" s="135"/>
      <c r="K443" s="135"/>
      <c r="L443" s="136">
        <f>L442</f>
        <v>1</v>
      </c>
      <c r="M443" s="137" t="s">
        <v>32</v>
      </c>
    </row>
    <row r="444" spans="1:13" s="128" customFormat="1" x14ac:dyDescent="0.2">
      <c r="A444" s="127"/>
      <c r="B444" s="143"/>
      <c r="C444" s="143"/>
      <c r="D444" s="143"/>
      <c r="E444" s="143"/>
      <c r="F444" s="143"/>
      <c r="G444" s="143"/>
      <c r="H444" s="143"/>
      <c r="I444" s="143"/>
      <c r="J444" s="143"/>
      <c r="K444" s="143"/>
      <c r="L444" s="171"/>
      <c r="M444" s="138"/>
    </row>
    <row r="445" spans="1:13" s="122" customFormat="1" x14ac:dyDescent="0.2">
      <c r="A445" s="74" t="s">
        <v>145</v>
      </c>
      <c r="B445" s="314" t="str">
        <f>'Planilha Orçamentária'!D75</f>
        <v>Serviços Diversos</v>
      </c>
      <c r="C445" s="315"/>
      <c r="D445" s="315"/>
      <c r="E445" s="315"/>
      <c r="F445" s="315"/>
      <c r="G445" s="315"/>
      <c r="H445" s="315"/>
      <c r="I445" s="315"/>
      <c r="J445" s="315"/>
      <c r="K445" s="315"/>
      <c r="L445" s="98"/>
      <c r="M445" s="125"/>
    </row>
    <row r="446" spans="1:13" s="128" customFormat="1" x14ac:dyDescent="0.2">
      <c r="A446" s="149" t="s">
        <v>147</v>
      </c>
      <c r="B446" s="398" t="str">
        <f>'Planilha Orçamentária'!D76</f>
        <v xml:space="preserve">Trave de futebol de areia, com 5,50 m de largura e 2,20 m de altura, fundo anticorrosivo, pintura em esmalte sintético, na cor amarela. </v>
      </c>
      <c r="C446" s="396"/>
      <c r="D446" s="396"/>
      <c r="E446" s="396"/>
      <c r="F446" s="396"/>
      <c r="G446" s="396"/>
      <c r="H446" s="396"/>
      <c r="I446" s="396"/>
      <c r="J446" s="396"/>
      <c r="K446" s="396"/>
      <c r="L446" s="397"/>
      <c r="M446" s="150"/>
    </row>
    <row r="447" spans="1:13" s="128" customFormat="1" x14ac:dyDescent="0.2">
      <c r="A447" s="129"/>
      <c r="B447" s="152" t="s">
        <v>485</v>
      </c>
      <c r="C447" s="131">
        <v>2</v>
      </c>
      <c r="D447" s="131"/>
      <c r="E447" s="143"/>
      <c r="F447" s="131"/>
      <c r="G447" s="131"/>
      <c r="H447" s="131"/>
      <c r="I447" s="131"/>
      <c r="J447" s="131"/>
      <c r="K447" s="131"/>
      <c r="L447" s="132">
        <f>C447</f>
        <v>2</v>
      </c>
      <c r="M447" s="133"/>
    </row>
    <row r="448" spans="1:13" s="128" customFormat="1" x14ac:dyDescent="0.2">
      <c r="A448" s="129"/>
      <c r="B448" s="134" t="s">
        <v>8</v>
      </c>
      <c r="C448" s="135"/>
      <c r="D448" s="135"/>
      <c r="E448" s="135"/>
      <c r="F448" s="135"/>
      <c r="G448" s="135"/>
      <c r="H448" s="135"/>
      <c r="I448" s="135"/>
      <c r="J448" s="135"/>
      <c r="K448" s="135"/>
      <c r="L448" s="136">
        <f>L447</f>
        <v>2</v>
      </c>
      <c r="M448" s="137" t="s">
        <v>32</v>
      </c>
    </row>
    <row r="449" spans="1:13" s="128" customFormat="1" x14ac:dyDescent="0.2">
      <c r="A449" s="127"/>
      <c r="B449" s="143"/>
      <c r="C449" s="143"/>
      <c r="D449" s="143"/>
      <c r="E449" s="143"/>
      <c r="F449" s="143"/>
      <c r="G449" s="143"/>
      <c r="H449" s="143"/>
      <c r="I449" s="143"/>
      <c r="J449" s="143"/>
      <c r="K449" s="143"/>
      <c r="L449" s="139"/>
      <c r="M449" s="140"/>
    </row>
    <row r="450" spans="1:13" s="128" customFormat="1" x14ac:dyDescent="0.2">
      <c r="A450" s="141" t="s">
        <v>149</v>
      </c>
      <c r="B450" s="396" t="str">
        <f>'Planilha Orçamentária'!D77</f>
        <v>Fornecimento e assentamento de areia fina</v>
      </c>
      <c r="C450" s="396"/>
      <c r="D450" s="396"/>
      <c r="E450" s="396"/>
      <c r="F450" s="396"/>
      <c r="G450" s="396"/>
      <c r="H450" s="396"/>
      <c r="I450" s="396"/>
      <c r="J450" s="396"/>
      <c r="K450" s="396"/>
      <c r="L450" s="397"/>
      <c r="M450" s="127"/>
    </row>
    <row r="451" spans="1:13" s="128" customFormat="1" x14ac:dyDescent="0.2">
      <c r="A451" s="129"/>
      <c r="B451" s="172" t="s">
        <v>486</v>
      </c>
      <c r="C451" s="131"/>
      <c r="D451" s="131"/>
      <c r="E451" s="131"/>
      <c r="F451" s="131">
        <v>0.2</v>
      </c>
      <c r="G451" s="131">
        <v>444.01</v>
      </c>
      <c r="H451" s="131">
        <f>TRUNC(G451*F451,2)</f>
        <v>88.8</v>
      </c>
      <c r="I451" s="131"/>
      <c r="J451" s="131"/>
      <c r="K451" s="131"/>
      <c r="L451" s="132">
        <f>H451</f>
        <v>88.8</v>
      </c>
      <c r="M451" s="146"/>
    </row>
    <row r="452" spans="1:13" s="128" customFormat="1" x14ac:dyDescent="0.2">
      <c r="A452" s="129"/>
      <c r="B452" s="134" t="s">
        <v>8</v>
      </c>
      <c r="C452" s="135"/>
      <c r="D452" s="135"/>
      <c r="E452" s="135"/>
      <c r="F452" s="135"/>
      <c r="G452" s="135"/>
      <c r="H452" s="135"/>
      <c r="I452" s="135"/>
      <c r="J452" s="135"/>
      <c r="K452" s="135"/>
      <c r="L452" s="136">
        <f>L451</f>
        <v>88.8</v>
      </c>
      <c r="M452" s="137" t="s">
        <v>36</v>
      </c>
    </row>
    <row r="453" spans="1:13" s="128" customFormat="1" x14ac:dyDescent="0.2">
      <c r="A453" s="130"/>
      <c r="B453" s="147"/>
      <c r="C453" s="143"/>
      <c r="D453" s="143"/>
      <c r="E453" s="143"/>
      <c r="F453" s="143"/>
      <c r="G453" s="143"/>
      <c r="H453" s="143"/>
      <c r="I453" s="143"/>
      <c r="J453" s="143"/>
      <c r="K453" s="143"/>
      <c r="L453" s="324"/>
      <c r="M453" s="140"/>
    </row>
    <row r="454" spans="1:13" s="128" customFormat="1" x14ac:dyDescent="0.2">
      <c r="A454" s="126" t="s">
        <v>150</v>
      </c>
      <c r="B454" s="393" t="str">
        <f>'Planilha Orçamentária'!D78</f>
        <v>Fornecimento e assentamento de areia grossa</v>
      </c>
      <c r="C454" s="394"/>
      <c r="D454" s="394"/>
      <c r="E454" s="394"/>
      <c r="F454" s="394"/>
      <c r="G454" s="394"/>
      <c r="H454" s="394"/>
      <c r="I454" s="394"/>
      <c r="J454" s="394"/>
      <c r="K454" s="394"/>
      <c r="L454" s="395"/>
      <c r="M454" s="127"/>
    </row>
    <row r="455" spans="1:13" s="128" customFormat="1" x14ac:dyDescent="0.2">
      <c r="A455" s="129"/>
      <c r="B455" s="172" t="s">
        <v>486</v>
      </c>
      <c r="C455" s="131"/>
      <c r="D455" s="131"/>
      <c r="E455" s="131"/>
      <c r="F455" s="131">
        <v>0.1</v>
      </c>
      <c r="G455" s="131">
        <v>444.01</v>
      </c>
      <c r="H455" s="131">
        <f>TRUNC(G455*F455,2)</f>
        <v>44.4</v>
      </c>
      <c r="I455" s="131"/>
      <c r="J455" s="131"/>
      <c r="K455" s="131"/>
      <c r="L455" s="132">
        <f>H455</f>
        <v>44.4</v>
      </c>
      <c r="M455" s="133"/>
    </row>
    <row r="456" spans="1:13" s="128" customFormat="1" x14ac:dyDescent="0.2">
      <c r="A456" s="129"/>
      <c r="B456" s="134" t="s">
        <v>8</v>
      </c>
      <c r="C456" s="135"/>
      <c r="D456" s="135"/>
      <c r="E456" s="135"/>
      <c r="F456" s="135"/>
      <c r="G456" s="135"/>
      <c r="H456" s="135"/>
      <c r="I456" s="135"/>
      <c r="J456" s="135"/>
      <c r="K456" s="135"/>
      <c r="L456" s="136">
        <f>SUM(L455:L455)</f>
        <v>44.4</v>
      </c>
      <c r="M456" s="137" t="s">
        <v>18</v>
      </c>
    </row>
    <row r="457" spans="1:13" s="128" customFormat="1" x14ac:dyDescent="0.2">
      <c r="A457" s="127"/>
      <c r="B457" s="143"/>
      <c r="C457" s="143"/>
      <c r="D457" s="143"/>
      <c r="E457" s="143"/>
      <c r="F457" s="143"/>
      <c r="G457" s="143"/>
      <c r="H457" s="143"/>
      <c r="I457" s="143"/>
      <c r="J457" s="143"/>
      <c r="K457" s="143"/>
      <c r="L457" s="139"/>
      <c r="M457" s="140"/>
    </row>
    <row r="458" spans="1:13" s="128" customFormat="1" x14ac:dyDescent="0.2">
      <c r="A458" s="141" t="s">
        <v>153</v>
      </c>
      <c r="B458" s="396" t="str">
        <f>'Planilha Orçamentária'!D79</f>
        <v>Alambrado c/ tela losangular de arame fio 12 malha 2" revest. em PVC com tubo de ferro galvanizado vertical de 2 1/2" e horizontal de 1" incl. Portão, pintados com esmalte sobre fundo anticorrosivo</v>
      </c>
      <c r="C458" s="396"/>
      <c r="D458" s="396"/>
      <c r="E458" s="396"/>
      <c r="F458" s="396"/>
      <c r="G458" s="396"/>
      <c r="H458" s="396"/>
      <c r="I458" s="396"/>
      <c r="J458" s="396"/>
      <c r="K458" s="396"/>
      <c r="L458" s="397"/>
      <c r="M458" s="127"/>
    </row>
    <row r="459" spans="1:13" s="128" customFormat="1" x14ac:dyDescent="0.2">
      <c r="A459" s="142"/>
      <c r="B459" s="173" t="s">
        <v>485</v>
      </c>
      <c r="C459" s="131"/>
      <c r="D459" s="131"/>
      <c r="E459" s="131"/>
      <c r="F459" s="131"/>
      <c r="G459" s="131">
        <v>306.57</v>
      </c>
      <c r="H459" s="131"/>
      <c r="I459" s="131"/>
      <c r="J459" s="131"/>
      <c r="K459" s="131"/>
      <c r="L459" s="132">
        <f>G459</f>
        <v>306.57</v>
      </c>
      <c r="M459" s="133"/>
    </row>
    <row r="460" spans="1:13" s="128" customFormat="1" x14ac:dyDescent="0.2">
      <c r="A460" s="142"/>
      <c r="B460" s="144" t="s">
        <v>8</v>
      </c>
      <c r="C460" s="135"/>
      <c r="D460" s="135"/>
      <c r="E460" s="135"/>
      <c r="F460" s="135"/>
      <c r="G460" s="135"/>
      <c r="H460" s="135"/>
      <c r="I460" s="135"/>
      <c r="J460" s="135"/>
      <c r="K460" s="135"/>
      <c r="L460" s="136">
        <f>SUM(L459:L459)</f>
        <v>306.57</v>
      </c>
      <c r="M460" s="137" t="s">
        <v>18</v>
      </c>
    </row>
    <row r="461" spans="1:13" s="128" customFormat="1" x14ac:dyDescent="0.2">
      <c r="A461" s="130"/>
      <c r="B461" s="147"/>
      <c r="C461" s="143"/>
      <c r="D461" s="143"/>
      <c r="E461" s="143"/>
      <c r="F461" s="143"/>
      <c r="G461" s="143"/>
      <c r="H461" s="143"/>
      <c r="I461" s="143"/>
      <c r="J461" s="143"/>
      <c r="K461" s="143"/>
      <c r="L461" s="324"/>
      <c r="M461" s="140"/>
    </row>
    <row r="462" spans="1:13" s="122" customFormat="1" x14ac:dyDescent="0.2">
      <c r="A462" s="74" t="s">
        <v>158</v>
      </c>
      <c r="B462" s="314" t="str">
        <f>'Planilha Orçamentária'!D82</f>
        <v xml:space="preserve">INSTALAÇÕES HIDRÁULICAS </v>
      </c>
      <c r="C462" s="315"/>
      <c r="D462" s="315"/>
      <c r="E462" s="315"/>
      <c r="F462" s="315"/>
      <c r="G462" s="315"/>
      <c r="H462" s="315"/>
      <c r="I462" s="315"/>
      <c r="J462" s="315"/>
      <c r="K462" s="315"/>
      <c r="L462" s="98"/>
      <c r="M462" s="125"/>
    </row>
    <row r="463" spans="1:13" s="128" customFormat="1" x14ac:dyDescent="0.2">
      <c r="A463" s="149" t="s">
        <v>160</v>
      </c>
      <c r="B463" s="398" t="str">
        <f>'Planilha Orçamentária'!D83</f>
        <v>Padrão de entrada d' água com cavalete de PVC para hidrômetro com diâmetro de 3/4" - padrão 1C da CESAN. Instalado em vão de muro protegido com gradeamento. Inclusive base de concreto magro, tubulação, conexões e registro.</v>
      </c>
      <c r="C463" s="396"/>
      <c r="D463" s="396"/>
      <c r="E463" s="396"/>
      <c r="F463" s="396"/>
      <c r="G463" s="396"/>
      <c r="H463" s="396"/>
      <c r="I463" s="396"/>
      <c r="J463" s="396"/>
      <c r="K463" s="396"/>
      <c r="L463" s="397"/>
      <c r="M463" s="150"/>
    </row>
    <row r="464" spans="1:13" s="128" customFormat="1" x14ac:dyDescent="0.2">
      <c r="A464" s="129"/>
      <c r="B464" s="172" t="s">
        <v>689</v>
      </c>
      <c r="C464" s="131">
        <v>1</v>
      </c>
      <c r="D464" s="131"/>
      <c r="E464" s="143"/>
      <c r="F464" s="131"/>
      <c r="G464" s="131"/>
      <c r="H464" s="131"/>
      <c r="I464" s="131"/>
      <c r="J464" s="131"/>
      <c r="K464" s="131"/>
      <c r="L464" s="132">
        <f>C464</f>
        <v>1</v>
      </c>
      <c r="M464" s="133"/>
    </row>
    <row r="465" spans="1:13" s="128" customFormat="1" x14ac:dyDescent="0.2">
      <c r="A465" s="129"/>
      <c r="B465" s="134" t="s">
        <v>8</v>
      </c>
      <c r="C465" s="135"/>
      <c r="D465" s="135"/>
      <c r="E465" s="135"/>
      <c r="F465" s="135"/>
      <c r="G465" s="135"/>
      <c r="H465" s="135"/>
      <c r="I465" s="135"/>
      <c r="J465" s="135"/>
      <c r="K465" s="135"/>
      <c r="L465" s="136">
        <f>L464</f>
        <v>1</v>
      </c>
      <c r="M465" s="137" t="s">
        <v>32</v>
      </c>
    </row>
    <row r="466" spans="1:13" s="128" customFormat="1" x14ac:dyDescent="0.2">
      <c r="A466" s="127"/>
      <c r="B466" s="143"/>
      <c r="C466" s="143"/>
      <c r="D466" s="143"/>
      <c r="E466" s="143"/>
      <c r="F466" s="143"/>
      <c r="G466" s="143"/>
      <c r="H466" s="143"/>
      <c r="I466" s="143"/>
      <c r="J466" s="143"/>
      <c r="K466" s="143"/>
      <c r="L466" s="139"/>
      <c r="M466" s="140"/>
    </row>
    <row r="467" spans="1:13" s="128" customFormat="1" x14ac:dyDescent="0.2">
      <c r="A467" s="141" t="s">
        <v>161</v>
      </c>
      <c r="B467" s="396" t="str">
        <f>'Planilha Orçamentária'!D84</f>
        <v>Ponto com registro de pressão (chuveiro, caixa de descarga, etc...)</v>
      </c>
      <c r="C467" s="396"/>
      <c r="D467" s="396"/>
      <c r="E467" s="396"/>
      <c r="F467" s="396"/>
      <c r="G467" s="396"/>
      <c r="H467" s="396"/>
      <c r="I467" s="396"/>
      <c r="J467" s="396"/>
      <c r="K467" s="396"/>
      <c r="L467" s="397"/>
      <c r="M467" s="127"/>
    </row>
    <row r="468" spans="1:13" s="128" customFormat="1" x14ac:dyDescent="0.2">
      <c r="A468" s="129"/>
      <c r="B468" s="172" t="s">
        <v>689</v>
      </c>
      <c r="C468" s="131">
        <v>1</v>
      </c>
      <c r="D468" s="131"/>
      <c r="E468" s="131"/>
      <c r="F468" s="131"/>
      <c r="G468" s="131"/>
      <c r="H468" s="131"/>
      <c r="I468" s="131"/>
      <c r="J468" s="131"/>
      <c r="K468" s="131"/>
      <c r="L468" s="132">
        <f>C468</f>
        <v>1</v>
      </c>
      <c r="M468" s="146"/>
    </row>
    <row r="469" spans="1:13" s="128" customFormat="1" x14ac:dyDescent="0.2">
      <c r="A469" s="129"/>
      <c r="B469" s="134" t="s">
        <v>8</v>
      </c>
      <c r="C469" s="135"/>
      <c r="D469" s="135"/>
      <c r="E469" s="135"/>
      <c r="F469" s="135"/>
      <c r="G469" s="135"/>
      <c r="H469" s="135"/>
      <c r="I469" s="135"/>
      <c r="J469" s="135"/>
      <c r="K469" s="135"/>
      <c r="L469" s="136">
        <f>L468</f>
        <v>1</v>
      </c>
      <c r="M469" s="137" t="s">
        <v>32</v>
      </c>
    </row>
    <row r="470" spans="1:13" s="128" customFormat="1" x14ac:dyDescent="0.2">
      <c r="A470" s="127"/>
      <c r="B470" s="143"/>
      <c r="C470" s="143"/>
      <c r="D470" s="143"/>
      <c r="E470" s="143"/>
      <c r="F470" s="143"/>
      <c r="G470" s="143"/>
      <c r="H470" s="143"/>
      <c r="I470" s="143"/>
      <c r="J470" s="143"/>
      <c r="K470" s="143"/>
      <c r="L470" s="139"/>
      <c r="M470" s="140"/>
    </row>
    <row r="471" spans="1:13" s="122" customFormat="1" x14ac:dyDescent="0.2">
      <c r="A471" s="74" t="s">
        <v>164</v>
      </c>
      <c r="B471" s="314" t="str">
        <f>'Planilha Orçamentária'!D87</f>
        <v>INSTALAÇÕES ELÉTRICAS</v>
      </c>
      <c r="C471" s="315"/>
      <c r="D471" s="315"/>
      <c r="E471" s="315"/>
      <c r="F471" s="315"/>
      <c r="G471" s="315"/>
      <c r="H471" s="315"/>
      <c r="I471" s="315"/>
      <c r="J471" s="315"/>
      <c r="K471" s="315"/>
      <c r="L471" s="98"/>
      <c r="M471" s="125"/>
    </row>
    <row r="472" spans="1:13" s="128" customFormat="1" x14ac:dyDescent="0.2">
      <c r="A472" s="141" t="s">
        <v>166</v>
      </c>
      <c r="B472" s="396" t="str">
        <f>'Planilha Orçamentária'!D88</f>
        <v>Fornecimento e instalação de poste cônico contínuo em aço galvanizado, reto, engastado, altura de 7 m, e diâmetro inferior de 125 mm.</v>
      </c>
      <c r="C472" s="396"/>
      <c r="D472" s="396"/>
      <c r="E472" s="396"/>
      <c r="F472" s="396"/>
      <c r="G472" s="396"/>
      <c r="H472" s="396"/>
      <c r="I472" s="396"/>
      <c r="J472" s="396"/>
      <c r="K472" s="396"/>
      <c r="L472" s="397"/>
      <c r="M472" s="127"/>
    </row>
    <row r="473" spans="1:13" s="160" customFormat="1" x14ac:dyDescent="0.2">
      <c r="A473" s="174"/>
      <c r="B473" s="172" t="s">
        <v>690</v>
      </c>
      <c r="C473" s="163">
        <v>1</v>
      </c>
      <c r="D473" s="163"/>
      <c r="E473" s="163"/>
      <c r="F473" s="163"/>
      <c r="G473" s="163"/>
      <c r="H473" s="163"/>
      <c r="I473" s="163"/>
      <c r="J473" s="163"/>
      <c r="K473" s="163"/>
      <c r="L473" s="164">
        <f>C473</f>
        <v>1</v>
      </c>
      <c r="M473" s="175"/>
    </row>
    <row r="474" spans="1:13" s="160" customFormat="1" x14ac:dyDescent="0.2">
      <c r="A474" s="174"/>
      <c r="B474" s="172" t="s">
        <v>691</v>
      </c>
      <c r="C474" s="163">
        <v>3</v>
      </c>
      <c r="D474" s="163"/>
      <c r="E474" s="163"/>
      <c r="F474" s="163"/>
      <c r="G474" s="163"/>
      <c r="H474" s="163"/>
      <c r="I474" s="163"/>
      <c r="J474" s="163"/>
      <c r="K474" s="163"/>
      <c r="L474" s="164">
        <f t="shared" ref="L474:L475" si="35">C474</f>
        <v>3</v>
      </c>
      <c r="M474" s="175"/>
    </row>
    <row r="475" spans="1:13" s="160" customFormat="1" x14ac:dyDescent="0.2">
      <c r="A475" s="174"/>
      <c r="B475" s="172" t="s">
        <v>694</v>
      </c>
      <c r="C475" s="163">
        <v>4</v>
      </c>
      <c r="D475" s="163"/>
      <c r="E475" s="163"/>
      <c r="F475" s="163"/>
      <c r="G475" s="163"/>
      <c r="H475" s="163"/>
      <c r="I475" s="163"/>
      <c r="J475" s="163"/>
      <c r="K475" s="163"/>
      <c r="L475" s="164">
        <f t="shared" si="35"/>
        <v>4</v>
      </c>
      <c r="M475" s="175"/>
    </row>
    <row r="476" spans="1:13" s="160" customFormat="1" x14ac:dyDescent="0.2">
      <c r="A476" s="174"/>
      <c r="B476" s="176" t="s">
        <v>8</v>
      </c>
      <c r="C476" s="167"/>
      <c r="D476" s="167"/>
      <c r="E476" s="167"/>
      <c r="F476" s="167"/>
      <c r="G476" s="167"/>
      <c r="H476" s="167"/>
      <c r="I476" s="167"/>
      <c r="J476" s="167"/>
      <c r="K476" s="167"/>
      <c r="L476" s="168">
        <f>SUM(L473:L475)</f>
        <v>8</v>
      </c>
      <c r="M476" s="169" t="s">
        <v>32</v>
      </c>
    </row>
    <row r="477" spans="1:13" s="160" customFormat="1" x14ac:dyDescent="0.2">
      <c r="A477" s="159"/>
      <c r="B477" s="162"/>
      <c r="C477" s="162"/>
      <c r="D477" s="162"/>
      <c r="E477" s="162"/>
      <c r="F477" s="162"/>
      <c r="G477" s="162"/>
      <c r="H477" s="162"/>
      <c r="I477" s="162"/>
      <c r="J477" s="162"/>
      <c r="K477" s="162"/>
      <c r="L477" s="170"/>
      <c r="M477" s="177"/>
    </row>
    <row r="478" spans="1:13" s="160" customFormat="1" x14ac:dyDescent="0.2">
      <c r="A478" s="158" t="s">
        <v>169</v>
      </c>
      <c r="B478" s="402" t="str">
        <f>'Planilha Orçamentária'!D89</f>
        <v xml:space="preserve">Fornecimento de luminária pública de LED, 150 W, temperatura de cor em 5000 K, 18000 lúmens, IP66 </v>
      </c>
      <c r="C478" s="402"/>
      <c r="D478" s="402"/>
      <c r="E478" s="402"/>
      <c r="F478" s="402"/>
      <c r="G478" s="402"/>
      <c r="H478" s="402"/>
      <c r="I478" s="402"/>
      <c r="J478" s="402"/>
      <c r="K478" s="402"/>
      <c r="L478" s="403"/>
      <c r="M478" s="159"/>
    </row>
    <row r="479" spans="1:13" s="160" customFormat="1" x14ac:dyDescent="0.2">
      <c r="A479" s="174"/>
      <c r="B479" s="172" t="s">
        <v>693</v>
      </c>
      <c r="C479" s="163">
        <v>4</v>
      </c>
      <c r="D479" s="163"/>
      <c r="E479" s="163"/>
      <c r="F479" s="163"/>
      <c r="G479" s="163"/>
      <c r="H479" s="163"/>
      <c r="I479" s="163"/>
      <c r="J479" s="163"/>
      <c r="K479" s="163"/>
      <c r="L479" s="164">
        <f>C479</f>
        <v>4</v>
      </c>
      <c r="M479" s="175"/>
    </row>
    <row r="480" spans="1:13" s="160" customFormat="1" x14ac:dyDescent="0.2">
      <c r="A480" s="174"/>
      <c r="B480" s="172" t="s">
        <v>697</v>
      </c>
      <c r="C480" s="163">
        <v>6</v>
      </c>
      <c r="D480" s="163"/>
      <c r="E480" s="163"/>
      <c r="F480" s="163"/>
      <c r="G480" s="163"/>
      <c r="H480" s="163"/>
      <c r="I480" s="163"/>
      <c r="J480" s="163"/>
      <c r="K480" s="163"/>
      <c r="L480" s="164">
        <f>C480</f>
        <v>6</v>
      </c>
      <c r="M480" s="175"/>
    </row>
    <row r="481" spans="1:13" s="160" customFormat="1" x14ac:dyDescent="0.2">
      <c r="A481" s="174"/>
      <c r="B481" s="176" t="s">
        <v>8</v>
      </c>
      <c r="C481" s="167"/>
      <c r="D481" s="167"/>
      <c r="E481" s="167"/>
      <c r="F481" s="167"/>
      <c r="G481" s="167"/>
      <c r="H481" s="167"/>
      <c r="I481" s="167"/>
      <c r="J481" s="167"/>
      <c r="K481" s="167"/>
      <c r="L481" s="168">
        <f>SUM(L479:L480)</f>
        <v>10</v>
      </c>
      <c r="M481" s="169" t="s">
        <v>32</v>
      </c>
    </row>
    <row r="482" spans="1:13" s="160" customFormat="1" x14ac:dyDescent="0.2">
      <c r="A482" s="159"/>
      <c r="B482" s="162"/>
      <c r="C482" s="162"/>
      <c r="D482" s="162"/>
      <c r="E482" s="162"/>
      <c r="F482" s="162"/>
      <c r="G482" s="162"/>
      <c r="H482" s="162"/>
      <c r="I482" s="162"/>
      <c r="J482" s="162"/>
      <c r="K482" s="162"/>
      <c r="L482" s="170"/>
      <c r="M482" s="177"/>
    </row>
    <row r="483" spans="1:13" s="160" customFormat="1" x14ac:dyDescent="0.2">
      <c r="A483" s="158" t="s">
        <v>172</v>
      </c>
      <c r="B483" s="402" t="str">
        <f>'Planilha Orçamentária'!D90</f>
        <v>Fornecimento de refletor para campo de areia de LED, com 200 W, e montagem em SMD, IP67, temperatura 6500K, 65L/W, luz branca</v>
      </c>
      <c r="C483" s="402"/>
      <c r="D483" s="402"/>
      <c r="E483" s="402"/>
      <c r="F483" s="402"/>
      <c r="G483" s="402"/>
      <c r="H483" s="402"/>
      <c r="I483" s="402"/>
      <c r="J483" s="402"/>
      <c r="K483" s="402"/>
      <c r="L483" s="403"/>
      <c r="M483" s="159"/>
    </row>
    <row r="484" spans="1:13" s="160" customFormat="1" x14ac:dyDescent="0.2">
      <c r="A484" s="174"/>
      <c r="B484" s="172" t="s">
        <v>695</v>
      </c>
      <c r="C484" s="163">
        <v>12</v>
      </c>
      <c r="D484" s="163"/>
      <c r="E484" s="163"/>
      <c r="F484" s="163"/>
      <c r="G484" s="163"/>
      <c r="H484" s="163"/>
      <c r="I484" s="163"/>
      <c r="J484" s="163"/>
      <c r="K484" s="163"/>
      <c r="L484" s="164">
        <f>C484</f>
        <v>12</v>
      </c>
      <c r="M484" s="175"/>
    </row>
    <row r="485" spans="1:13" s="160" customFormat="1" x14ac:dyDescent="0.2">
      <c r="A485" s="174"/>
      <c r="B485" s="176" t="s">
        <v>8</v>
      </c>
      <c r="C485" s="167"/>
      <c r="D485" s="167"/>
      <c r="E485" s="167"/>
      <c r="F485" s="167"/>
      <c r="G485" s="167"/>
      <c r="H485" s="167"/>
      <c r="I485" s="167"/>
      <c r="J485" s="167"/>
      <c r="K485" s="167"/>
      <c r="L485" s="168">
        <f>L484</f>
        <v>12</v>
      </c>
      <c r="M485" s="169" t="s">
        <v>32</v>
      </c>
    </row>
    <row r="486" spans="1:13" s="160" customFormat="1" x14ac:dyDescent="0.2">
      <c r="A486" s="159"/>
      <c r="B486" s="162"/>
      <c r="C486" s="162"/>
      <c r="D486" s="162"/>
      <c r="E486" s="162"/>
      <c r="F486" s="162"/>
      <c r="G486" s="162"/>
      <c r="H486" s="162"/>
      <c r="I486" s="162"/>
      <c r="J486" s="162"/>
      <c r="K486" s="162"/>
      <c r="L486" s="170"/>
      <c r="M486" s="177"/>
    </row>
    <row r="487" spans="1:13" s="160" customFormat="1" x14ac:dyDescent="0.2">
      <c r="A487" s="158" t="s">
        <v>174</v>
      </c>
      <c r="B487" s="402" t="str">
        <f>'Planilha Orçamentária'!D91</f>
        <v xml:space="preserve">Fornecimento de suporte para fixação de iluminação pública, 2 pétalas, diâmetro externo de 48,3 mm a 60,3 mm. </v>
      </c>
      <c r="C487" s="402"/>
      <c r="D487" s="402"/>
      <c r="E487" s="402"/>
      <c r="F487" s="402"/>
      <c r="G487" s="402"/>
      <c r="H487" s="402"/>
      <c r="I487" s="402"/>
      <c r="J487" s="402"/>
      <c r="K487" s="402"/>
      <c r="L487" s="403"/>
      <c r="M487" s="159"/>
    </row>
    <row r="488" spans="1:13" s="160" customFormat="1" x14ac:dyDescent="0.2">
      <c r="A488" s="174"/>
      <c r="B488" s="172" t="s">
        <v>699</v>
      </c>
      <c r="C488" s="163">
        <v>3</v>
      </c>
      <c r="D488" s="163"/>
      <c r="E488" s="163"/>
      <c r="F488" s="163"/>
      <c r="G488" s="163"/>
      <c r="H488" s="163"/>
      <c r="I488" s="163"/>
      <c r="J488" s="163"/>
      <c r="K488" s="163"/>
      <c r="L488" s="164">
        <f>C488</f>
        <v>3</v>
      </c>
      <c r="M488" s="175"/>
    </row>
    <row r="489" spans="1:13" s="160" customFormat="1" x14ac:dyDescent="0.2">
      <c r="A489" s="174"/>
      <c r="B489" s="176" t="s">
        <v>8</v>
      </c>
      <c r="C489" s="167"/>
      <c r="D489" s="167"/>
      <c r="E489" s="167"/>
      <c r="F489" s="167"/>
      <c r="G489" s="167"/>
      <c r="H489" s="167"/>
      <c r="I489" s="167"/>
      <c r="J489" s="167"/>
      <c r="K489" s="167"/>
      <c r="L489" s="168">
        <f>L488</f>
        <v>3</v>
      </c>
      <c r="M489" s="169" t="s">
        <v>32</v>
      </c>
    </row>
    <row r="490" spans="1:13" s="160" customFormat="1" x14ac:dyDescent="0.2">
      <c r="A490" s="159"/>
      <c r="B490" s="162"/>
      <c r="C490" s="162"/>
      <c r="D490" s="162"/>
      <c r="E490" s="162"/>
      <c r="F490" s="162"/>
      <c r="G490" s="162"/>
      <c r="H490" s="162"/>
      <c r="I490" s="162"/>
      <c r="J490" s="162"/>
      <c r="K490" s="162"/>
      <c r="L490" s="170"/>
      <c r="M490" s="177"/>
    </row>
    <row r="491" spans="1:13" s="160" customFormat="1" x14ac:dyDescent="0.2">
      <c r="A491" s="158" t="s">
        <v>177</v>
      </c>
      <c r="B491" s="402" t="str">
        <f>'Planilha Orçamentária'!D92</f>
        <v xml:space="preserve">Fornecimento de suporte para fixação de iluminação pública, 4 pétalas, diâmetro externo de 48,3 mm a 60,3 mm. </v>
      </c>
      <c r="C491" s="402"/>
      <c r="D491" s="402"/>
      <c r="E491" s="402"/>
      <c r="F491" s="402"/>
      <c r="G491" s="402"/>
      <c r="H491" s="402"/>
      <c r="I491" s="402"/>
      <c r="J491" s="402"/>
      <c r="K491" s="402"/>
      <c r="L491" s="403"/>
      <c r="M491" s="159"/>
    </row>
    <row r="492" spans="1:13" s="160" customFormat="1" x14ac:dyDescent="0.2">
      <c r="A492" s="174"/>
      <c r="B492" s="172" t="s">
        <v>698</v>
      </c>
      <c r="C492" s="163">
        <v>1</v>
      </c>
      <c r="D492" s="163"/>
      <c r="E492" s="163"/>
      <c r="F492" s="163"/>
      <c r="G492" s="163"/>
      <c r="H492" s="163"/>
      <c r="I492" s="163"/>
      <c r="J492" s="163"/>
      <c r="K492" s="163"/>
      <c r="L492" s="164">
        <f>C492</f>
        <v>1</v>
      </c>
      <c r="M492" s="175"/>
    </row>
    <row r="493" spans="1:13" s="160" customFormat="1" x14ac:dyDescent="0.2">
      <c r="A493" s="174"/>
      <c r="B493" s="176" t="s">
        <v>8</v>
      </c>
      <c r="C493" s="167"/>
      <c r="D493" s="167"/>
      <c r="E493" s="167"/>
      <c r="F493" s="167"/>
      <c r="G493" s="167"/>
      <c r="H493" s="167"/>
      <c r="I493" s="167"/>
      <c r="J493" s="167"/>
      <c r="K493" s="167"/>
      <c r="L493" s="168">
        <f>L492</f>
        <v>1</v>
      </c>
      <c r="M493" s="169" t="s">
        <v>32</v>
      </c>
    </row>
    <row r="494" spans="1:13" s="128" customFormat="1" x14ac:dyDescent="0.2">
      <c r="A494" s="127"/>
      <c r="B494" s="143"/>
      <c r="C494" s="143"/>
      <c r="D494" s="143"/>
      <c r="E494" s="143"/>
      <c r="F494" s="143"/>
      <c r="G494" s="143"/>
      <c r="H494" s="143"/>
      <c r="I494" s="143"/>
      <c r="J494" s="143"/>
      <c r="K494" s="143"/>
      <c r="L494" s="139"/>
      <c r="M494" s="140"/>
    </row>
    <row r="495" spans="1:13" s="122" customFormat="1" x14ac:dyDescent="0.2">
      <c r="A495" s="74" t="s">
        <v>181</v>
      </c>
      <c r="B495" s="314" t="str">
        <f>'Planilha Orçamentária'!D95</f>
        <v>CALÇADA</v>
      </c>
      <c r="C495" s="315"/>
      <c r="D495" s="315"/>
      <c r="E495" s="315"/>
      <c r="F495" s="315"/>
      <c r="G495" s="315"/>
      <c r="H495" s="315"/>
      <c r="I495" s="315"/>
      <c r="J495" s="315"/>
      <c r="K495" s="315"/>
      <c r="L495" s="98"/>
      <c r="M495" s="125"/>
    </row>
    <row r="496" spans="1:13" s="128" customFormat="1" x14ac:dyDescent="0.2">
      <c r="A496" s="141" t="s">
        <v>183</v>
      </c>
      <c r="B496" s="396" t="str">
        <f>'Planilha Orçamentária'!D96</f>
        <v>Blocos pré-moldados de concreto tipo pavi-s ou equivalente, espessura de 6 cm e resistência a compressão mínima de 35MPa, assentados sobre colchão de pó de pedra na espessura de 10 cm</v>
      </c>
      <c r="C496" s="396"/>
      <c r="D496" s="396"/>
      <c r="E496" s="396"/>
      <c r="F496" s="396"/>
      <c r="G496" s="396"/>
      <c r="H496" s="396"/>
      <c r="I496" s="396"/>
      <c r="J496" s="396"/>
      <c r="K496" s="396"/>
      <c r="L496" s="397"/>
      <c r="M496" s="127"/>
    </row>
    <row r="497" spans="1:13" s="160" customFormat="1" x14ac:dyDescent="0.2">
      <c r="A497" s="174"/>
      <c r="B497" s="172" t="s">
        <v>700</v>
      </c>
      <c r="C497" s="163"/>
      <c r="D497" s="163"/>
      <c r="E497" s="163"/>
      <c r="F497" s="163"/>
      <c r="G497" s="163">
        <v>50.34</v>
      </c>
      <c r="H497" s="163"/>
      <c r="I497" s="163"/>
      <c r="J497" s="163"/>
      <c r="K497" s="163"/>
      <c r="L497" s="164">
        <f>G497</f>
        <v>50.34</v>
      </c>
      <c r="M497" s="175"/>
    </row>
    <row r="498" spans="1:13" s="160" customFormat="1" x14ac:dyDescent="0.2">
      <c r="A498" s="174"/>
      <c r="B498" s="172" t="s">
        <v>701</v>
      </c>
      <c r="C498" s="163"/>
      <c r="D498" s="163"/>
      <c r="E498" s="163"/>
      <c r="F498" s="163"/>
      <c r="G498" s="163">
        <v>249.44</v>
      </c>
      <c r="H498" s="163"/>
      <c r="I498" s="163"/>
      <c r="J498" s="163"/>
      <c r="K498" s="163"/>
      <c r="L498" s="164">
        <f>G498</f>
        <v>249.44</v>
      </c>
      <c r="M498" s="175"/>
    </row>
    <row r="499" spans="1:13" s="160" customFormat="1" x14ac:dyDescent="0.2">
      <c r="A499" s="174"/>
      <c r="B499" s="176" t="s">
        <v>8</v>
      </c>
      <c r="C499" s="167"/>
      <c r="D499" s="167"/>
      <c r="E499" s="167"/>
      <c r="F499" s="167"/>
      <c r="G499" s="167"/>
      <c r="H499" s="167"/>
      <c r="I499" s="167"/>
      <c r="J499" s="167"/>
      <c r="K499" s="167"/>
      <c r="L499" s="168">
        <f>SUM(L497:L498)</f>
        <v>299.77999999999997</v>
      </c>
      <c r="M499" s="169" t="s">
        <v>18</v>
      </c>
    </row>
    <row r="500" spans="1:13" s="160" customFormat="1" x14ac:dyDescent="0.2">
      <c r="A500" s="159"/>
      <c r="B500" s="162"/>
      <c r="C500" s="162"/>
      <c r="D500" s="162"/>
      <c r="E500" s="162"/>
      <c r="F500" s="162"/>
      <c r="G500" s="162"/>
      <c r="H500" s="162"/>
      <c r="I500" s="162"/>
      <c r="J500" s="162"/>
      <c r="K500" s="162"/>
      <c r="L500" s="170"/>
      <c r="M500" s="177"/>
    </row>
    <row r="501" spans="1:13" s="128" customFormat="1" x14ac:dyDescent="0.2">
      <c r="A501" s="141" t="s">
        <v>185</v>
      </c>
      <c r="B501" s="396" t="str">
        <f>'Planilha Orçamentária'!D97</f>
        <v>Meio-fio de concreto pré-moldado com dimensões de 15x12x30x100 cm , rejuntados com argamassa de cimento e areia no traço 1:3</v>
      </c>
      <c r="C501" s="396"/>
      <c r="D501" s="396"/>
      <c r="E501" s="396"/>
      <c r="F501" s="396"/>
      <c r="G501" s="396"/>
      <c r="H501" s="396"/>
      <c r="I501" s="396"/>
      <c r="J501" s="396"/>
      <c r="K501" s="396"/>
      <c r="L501" s="397"/>
      <c r="M501" s="127"/>
    </row>
    <row r="502" spans="1:13" s="160" customFormat="1" x14ac:dyDescent="0.2">
      <c r="A502" s="174"/>
      <c r="B502" s="172" t="s">
        <v>700</v>
      </c>
      <c r="C502" s="163"/>
      <c r="D502" s="163">
        <v>45.12</v>
      </c>
      <c r="E502" s="163"/>
      <c r="F502" s="163"/>
      <c r="G502" s="163"/>
      <c r="H502" s="163"/>
      <c r="I502" s="163"/>
      <c r="J502" s="163"/>
      <c r="K502" s="163"/>
      <c r="L502" s="164">
        <f>D502</f>
        <v>45.12</v>
      </c>
      <c r="M502" s="175"/>
    </row>
    <row r="503" spans="1:13" s="160" customFormat="1" x14ac:dyDescent="0.2">
      <c r="A503" s="174"/>
      <c r="B503" s="172" t="s">
        <v>701</v>
      </c>
      <c r="C503" s="163"/>
      <c r="D503" s="163">
        <v>75.12</v>
      </c>
      <c r="E503" s="163"/>
      <c r="F503" s="163"/>
      <c r="G503" s="163"/>
      <c r="H503" s="163"/>
      <c r="I503" s="163"/>
      <c r="J503" s="163"/>
      <c r="K503" s="163"/>
      <c r="L503" s="164">
        <f>D503</f>
        <v>75.12</v>
      </c>
      <c r="M503" s="175"/>
    </row>
    <row r="504" spans="1:13" s="160" customFormat="1" x14ac:dyDescent="0.2">
      <c r="A504" s="174"/>
      <c r="B504" s="176" t="s">
        <v>8</v>
      </c>
      <c r="C504" s="167"/>
      <c r="D504" s="167"/>
      <c r="E504" s="167"/>
      <c r="F504" s="167"/>
      <c r="G504" s="167"/>
      <c r="H504" s="167"/>
      <c r="I504" s="167"/>
      <c r="J504" s="167"/>
      <c r="K504" s="167"/>
      <c r="L504" s="168">
        <f>SUM(L502:L503)</f>
        <v>120.24000000000001</v>
      </c>
      <c r="M504" s="169" t="s">
        <v>22</v>
      </c>
    </row>
    <row r="505" spans="1:13" s="160" customFormat="1" x14ac:dyDescent="0.2">
      <c r="A505" s="159"/>
      <c r="B505" s="162"/>
      <c r="C505" s="162"/>
      <c r="D505" s="162"/>
      <c r="E505" s="162"/>
      <c r="F505" s="162"/>
      <c r="G505" s="162"/>
      <c r="H505" s="162"/>
      <c r="I505" s="162"/>
      <c r="J505" s="162"/>
      <c r="K505" s="162"/>
      <c r="L505" s="170"/>
      <c r="M505" s="177"/>
    </row>
    <row r="506" spans="1:13" s="128" customFormat="1" x14ac:dyDescent="0.2">
      <c r="A506" s="141" t="s">
        <v>186</v>
      </c>
      <c r="B506" s="396" t="str">
        <f>'Planilha Orçamentária'!D98</f>
        <v>Fornecimento e assentamento de ladrilho hidráulico pastilhado, vermelho, dim. 20x20 cm, esp. 1.5cm, assentado com pasta de cimento colante, exclusive regularização e lastro</v>
      </c>
      <c r="C506" s="396"/>
      <c r="D506" s="396"/>
      <c r="E506" s="396"/>
      <c r="F506" s="396"/>
      <c r="G506" s="396"/>
      <c r="H506" s="396"/>
      <c r="I506" s="396"/>
      <c r="J506" s="396"/>
      <c r="K506" s="396"/>
      <c r="L506" s="397"/>
      <c r="M506" s="127"/>
    </row>
    <row r="507" spans="1:13" s="160" customFormat="1" x14ac:dyDescent="0.2">
      <c r="A507" s="174"/>
      <c r="B507" s="172" t="s">
        <v>700</v>
      </c>
      <c r="C507" s="163"/>
      <c r="D507" s="163">
        <f>G507/E507</f>
        <v>48.349999999999994</v>
      </c>
      <c r="E507" s="163">
        <v>0.2</v>
      </c>
      <c r="F507" s="163"/>
      <c r="G507" s="163">
        <v>9.67</v>
      </c>
      <c r="H507" s="163"/>
      <c r="I507" s="163"/>
      <c r="J507" s="163"/>
      <c r="K507" s="163"/>
      <c r="L507" s="164">
        <f>G507</f>
        <v>9.67</v>
      </c>
      <c r="M507" s="175"/>
    </row>
    <row r="508" spans="1:13" s="160" customFormat="1" x14ac:dyDescent="0.2">
      <c r="A508" s="174"/>
      <c r="B508" s="172" t="s">
        <v>701</v>
      </c>
      <c r="C508" s="163"/>
      <c r="D508" s="163">
        <f>G508/E508</f>
        <v>74.400000000000006</v>
      </c>
      <c r="E508" s="163">
        <v>0.2</v>
      </c>
      <c r="F508" s="163"/>
      <c r="G508" s="163">
        <v>14.88</v>
      </c>
      <c r="H508" s="163"/>
      <c r="I508" s="163"/>
      <c r="J508" s="163"/>
      <c r="K508" s="163"/>
      <c r="L508" s="164">
        <f>G508</f>
        <v>14.88</v>
      </c>
      <c r="M508" s="175"/>
    </row>
    <row r="509" spans="1:13" s="160" customFormat="1" x14ac:dyDescent="0.2">
      <c r="A509" s="174"/>
      <c r="B509" s="176" t="s">
        <v>8</v>
      </c>
      <c r="C509" s="167"/>
      <c r="D509" s="167"/>
      <c r="E509" s="167"/>
      <c r="F509" s="167"/>
      <c r="G509" s="167"/>
      <c r="H509" s="167"/>
      <c r="I509" s="167"/>
      <c r="J509" s="167"/>
      <c r="K509" s="167"/>
      <c r="L509" s="168">
        <f>SUM(L507:L508)</f>
        <v>24.55</v>
      </c>
      <c r="M509" s="169" t="s">
        <v>18</v>
      </c>
    </row>
    <row r="510" spans="1:13" s="160" customFormat="1" x14ac:dyDescent="0.2">
      <c r="A510" s="159"/>
      <c r="B510" s="162"/>
      <c r="C510" s="162"/>
      <c r="D510" s="162"/>
      <c r="E510" s="162"/>
      <c r="F510" s="162"/>
      <c r="G510" s="162"/>
      <c r="H510" s="162"/>
      <c r="I510" s="162"/>
      <c r="J510" s="162"/>
      <c r="K510" s="162"/>
      <c r="L510" s="170"/>
      <c r="M510" s="177"/>
    </row>
    <row r="511" spans="1:13" s="128" customFormat="1" x14ac:dyDescent="0.2">
      <c r="A511" s="141" t="s">
        <v>188</v>
      </c>
      <c r="B511" s="396" t="str">
        <f>'Planilha Orçamentária'!D99</f>
        <v>Fôrma de chapa compensada resinada 12mm, levando-se em conta a utilização 3 vezes (incluido o material, corte, montagem, escoramento e desfôrma)</v>
      </c>
      <c r="C511" s="396"/>
      <c r="D511" s="396"/>
      <c r="E511" s="396"/>
      <c r="F511" s="396"/>
      <c r="G511" s="396"/>
      <c r="H511" s="396"/>
      <c r="I511" s="396"/>
      <c r="J511" s="396"/>
      <c r="K511" s="396"/>
      <c r="L511" s="397"/>
      <c r="M511" s="127"/>
    </row>
    <row r="512" spans="1:13" s="160" customFormat="1" x14ac:dyDescent="0.2">
      <c r="A512" s="174"/>
      <c r="B512" s="172" t="s">
        <v>703</v>
      </c>
      <c r="C512" s="163"/>
      <c r="D512" s="163">
        <v>45.12</v>
      </c>
      <c r="E512" s="163"/>
      <c r="F512" s="163">
        <v>0.1</v>
      </c>
      <c r="G512" s="163">
        <f>F512*D512</f>
        <v>4.5119999999999996</v>
      </c>
      <c r="H512" s="163"/>
      <c r="I512" s="163"/>
      <c r="J512" s="163"/>
      <c r="K512" s="163"/>
      <c r="L512" s="164">
        <f>G512</f>
        <v>4.5119999999999996</v>
      </c>
      <c r="M512" s="175"/>
    </row>
    <row r="513" spans="1:13" s="160" customFormat="1" x14ac:dyDescent="0.2">
      <c r="A513" s="174"/>
      <c r="B513" s="172" t="s">
        <v>704</v>
      </c>
      <c r="C513" s="163"/>
      <c r="D513" s="163">
        <v>7.12</v>
      </c>
      <c r="E513" s="163"/>
      <c r="F513" s="163">
        <v>0.1</v>
      </c>
      <c r="G513" s="163">
        <f>F513*D513</f>
        <v>0.71200000000000008</v>
      </c>
      <c r="H513" s="163"/>
      <c r="I513" s="163"/>
      <c r="J513" s="163"/>
      <c r="K513" s="163"/>
      <c r="L513" s="164">
        <f>G513</f>
        <v>0.71200000000000008</v>
      </c>
      <c r="M513" s="175"/>
    </row>
    <row r="514" spans="1:13" s="160" customFormat="1" x14ac:dyDescent="0.2">
      <c r="A514" s="174"/>
      <c r="B514" s="176" t="s">
        <v>8</v>
      </c>
      <c r="C514" s="167"/>
      <c r="D514" s="167"/>
      <c r="E514" s="167"/>
      <c r="F514" s="167"/>
      <c r="G514" s="167"/>
      <c r="H514" s="167"/>
      <c r="I514" s="167"/>
      <c r="J514" s="167"/>
      <c r="K514" s="167"/>
      <c r="L514" s="168">
        <f>SUM(L512:L513)</f>
        <v>5.2239999999999993</v>
      </c>
      <c r="M514" s="169" t="s">
        <v>18</v>
      </c>
    </row>
    <row r="515" spans="1:13" s="160" customFormat="1" x14ac:dyDescent="0.2">
      <c r="A515" s="159"/>
      <c r="B515" s="162"/>
      <c r="C515" s="162"/>
      <c r="D515" s="162"/>
      <c r="E515" s="162"/>
      <c r="F515" s="162"/>
      <c r="G515" s="162"/>
      <c r="H515" s="162"/>
      <c r="I515" s="162"/>
      <c r="J515" s="162"/>
      <c r="K515" s="162"/>
      <c r="L515" s="170"/>
      <c r="M515" s="177"/>
    </row>
    <row r="516" spans="1:13" s="128" customFormat="1" x14ac:dyDescent="0.2">
      <c r="A516" s="141" t="s">
        <v>702</v>
      </c>
      <c r="B516" s="396" t="str">
        <f>'Planilha Orçamentária'!D100</f>
        <v>Fornecimento, preparo e aplicação de concreto magro com consumo mínimo de cimento de 250 kg/m3 (brita 1 e 2) - (5% de perdas já incluído no custo)</v>
      </c>
      <c r="C516" s="396"/>
      <c r="D516" s="396"/>
      <c r="E516" s="396"/>
      <c r="F516" s="396"/>
      <c r="G516" s="396"/>
      <c r="H516" s="396"/>
      <c r="I516" s="396"/>
      <c r="J516" s="396"/>
      <c r="K516" s="396"/>
      <c r="L516" s="397"/>
      <c r="M516" s="127"/>
    </row>
    <row r="517" spans="1:13" s="160" customFormat="1" x14ac:dyDescent="0.2">
      <c r="A517" s="174"/>
      <c r="B517" s="172" t="s">
        <v>705</v>
      </c>
      <c r="C517" s="163"/>
      <c r="D517" s="163"/>
      <c r="E517" s="163"/>
      <c r="F517" s="163">
        <v>0.06</v>
      </c>
      <c r="G517" s="163">
        <v>9.67</v>
      </c>
      <c r="H517" s="163">
        <f>G517*F517</f>
        <v>0.58019999999999994</v>
      </c>
      <c r="I517" s="163"/>
      <c r="J517" s="163"/>
      <c r="K517" s="163"/>
      <c r="L517" s="164">
        <f>H517</f>
        <v>0.58019999999999994</v>
      </c>
      <c r="M517" s="175"/>
    </row>
    <row r="518" spans="1:13" s="160" customFormat="1" x14ac:dyDescent="0.2">
      <c r="A518" s="174"/>
      <c r="B518" s="172" t="s">
        <v>706</v>
      </c>
      <c r="C518" s="163"/>
      <c r="D518" s="163"/>
      <c r="E518" s="163"/>
      <c r="F518" s="163">
        <v>0.06</v>
      </c>
      <c r="G518" s="163">
        <v>14.88</v>
      </c>
      <c r="H518" s="163">
        <f>G518*F518</f>
        <v>0.89280000000000004</v>
      </c>
      <c r="I518" s="163"/>
      <c r="J518" s="163"/>
      <c r="K518" s="163"/>
      <c r="L518" s="164">
        <f>H518</f>
        <v>0.89280000000000004</v>
      </c>
      <c r="M518" s="175"/>
    </row>
    <row r="519" spans="1:13" s="160" customFormat="1" x14ac:dyDescent="0.2">
      <c r="A519" s="174"/>
      <c r="B519" s="172" t="s">
        <v>707</v>
      </c>
      <c r="C519" s="163">
        <v>1</v>
      </c>
      <c r="D519" s="163">
        <v>3.9</v>
      </c>
      <c r="E519" s="163">
        <v>1.5</v>
      </c>
      <c r="F519" s="163">
        <v>0.1</v>
      </c>
      <c r="G519" s="163"/>
      <c r="H519" s="163">
        <f>F519*E519*D519</f>
        <v>0.58500000000000008</v>
      </c>
      <c r="I519" s="163"/>
      <c r="J519" s="163"/>
      <c r="K519" s="163"/>
      <c r="L519" s="164">
        <f>H519</f>
        <v>0.58500000000000008</v>
      </c>
      <c r="M519" s="175"/>
    </row>
    <row r="520" spans="1:13" s="160" customFormat="1" x14ac:dyDescent="0.2">
      <c r="A520" s="174"/>
      <c r="B520" s="176" t="s">
        <v>8</v>
      </c>
      <c r="C520" s="167"/>
      <c r="D520" s="167"/>
      <c r="E520" s="167"/>
      <c r="F520" s="167"/>
      <c r="G520" s="167"/>
      <c r="H520" s="167"/>
      <c r="I520" s="167"/>
      <c r="J520" s="167"/>
      <c r="K520" s="167"/>
      <c r="L520" s="168">
        <f>SUM(L517:L518)</f>
        <v>1.4729999999999999</v>
      </c>
      <c r="M520" s="169" t="s">
        <v>36</v>
      </c>
    </row>
    <row r="521" spans="1:13" s="160" customFormat="1" x14ac:dyDescent="0.2">
      <c r="A521" s="159"/>
      <c r="B521" s="162"/>
      <c r="C521" s="162"/>
      <c r="D521" s="162"/>
      <c r="E521" s="162"/>
      <c r="F521" s="162"/>
      <c r="G521" s="162"/>
      <c r="H521" s="162"/>
      <c r="I521" s="162"/>
      <c r="J521" s="162"/>
      <c r="K521" s="162"/>
      <c r="L521" s="170"/>
      <c r="M521" s="177"/>
    </row>
    <row r="522" spans="1:13" s="122" customFormat="1" x14ac:dyDescent="0.2">
      <c r="A522" s="74" t="s">
        <v>190</v>
      </c>
      <c r="B522" s="314" t="str">
        <f>'Planilha Orçamentária'!D103</f>
        <v xml:space="preserve">SERVIÇOS COMPLEMENTARES </v>
      </c>
      <c r="C522" s="315"/>
      <c r="D522" s="315"/>
      <c r="E522" s="315"/>
      <c r="F522" s="315"/>
      <c r="G522" s="315"/>
      <c r="H522" s="315"/>
      <c r="I522" s="315"/>
      <c r="J522" s="315"/>
      <c r="K522" s="315"/>
      <c r="L522" s="98"/>
      <c r="M522" s="125"/>
    </row>
    <row r="523" spans="1:13" s="128" customFormat="1" x14ac:dyDescent="0.2">
      <c r="A523" s="141" t="s">
        <v>192</v>
      </c>
      <c r="B523" s="396" t="str">
        <f>'Planilha Orçamentária'!D104</f>
        <v>Fornecimento e instalação de lixeira dupla de ferro, 60 L, fabricada em tubo de aço, cestos em chapas de aço e pintura eletrostática</v>
      </c>
      <c r="C523" s="396"/>
      <c r="D523" s="396"/>
      <c r="E523" s="396"/>
      <c r="F523" s="396"/>
      <c r="G523" s="396"/>
      <c r="H523" s="396"/>
      <c r="I523" s="396"/>
      <c r="J523" s="396"/>
      <c r="K523" s="396"/>
      <c r="L523" s="397"/>
      <c r="M523" s="127"/>
    </row>
    <row r="524" spans="1:13" s="160" customFormat="1" x14ac:dyDescent="0.2">
      <c r="A524" s="174"/>
      <c r="B524" s="172" t="s">
        <v>708</v>
      </c>
      <c r="C524" s="163">
        <v>2</v>
      </c>
      <c r="D524" s="163"/>
      <c r="E524" s="163"/>
      <c r="F524" s="163"/>
      <c r="G524" s="163"/>
      <c r="H524" s="163"/>
      <c r="I524" s="163"/>
      <c r="J524" s="163"/>
      <c r="K524" s="163"/>
      <c r="L524" s="164">
        <f>C524</f>
        <v>2</v>
      </c>
      <c r="M524" s="175"/>
    </row>
    <row r="525" spans="1:13" s="160" customFormat="1" x14ac:dyDescent="0.2">
      <c r="A525" s="174"/>
      <c r="B525" s="172" t="s">
        <v>709</v>
      </c>
      <c r="C525" s="163">
        <v>2</v>
      </c>
      <c r="D525" s="163"/>
      <c r="E525" s="163"/>
      <c r="F525" s="163"/>
      <c r="G525" s="163"/>
      <c r="H525" s="163"/>
      <c r="I525" s="163"/>
      <c r="J525" s="163"/>
      <c r="K525" s="163"/>
      <c r="L525" s="164">
        <f>C525</f>
        <v>2</v>
      </c>
      <c r="M525" s="175"/>
    </row>
    <row r="526" spans="1:13" s="160" customFormat="1" x14ac:dyDescent="0.2">
      <c r="A526" s="174"/>
      <c r="B526" s="176" t="s">
        <v>8</v>
      </c>
      <c r="C526" s="167"/>
      <c r="D526" s="167"/>
      <c r="E526" s="167"/>
      <c r="F526" s="167"/>
      <c r="G526" s="167"/>
      <c r="H526" s="167"/>
      <c r="I526" s="167"/>
      <c r="J526" s="167"/>
      <c r="K526" s="167"/>
      <c r="L526" s="168">
        <f>SUM(L524:L525)</f>
        <v>4</v>
      </c>
      <c r="M526" s="169" t="s">
        <v>32</v>
      </c>
    </row>
    <row r="527" spans="1:13" s="160" customFormat="1" x14ac:dyDescent="0.2">
      <c r="A527" s="159"/>
      <c r="B527" s="162"/>
      <c r="C527" s="162"/>
      <c r="D527" s="162"/>
      <c r="E527" s="162"/>
      <c r="F527" s="162"/>
      <c r="G527" s="162"/>
      <c r="H527" s="162"/>
      <c r="I527" s="162"/>
      <c r="J527" s="162"/>
      <c r="K527" s="162"/>
      <c r="L527" s="170"/>
      <c r="M527" s="177"/>
    </row>
    <row r="528" spans="1:13" s="128" customFormat="1" x14ac:dyDescent="0.2">
      <c r="A528" s="141" t="s">
        <v>193</v>
      </c>
      <c r="B528" s="396" t="str">
        <f>'Planilha Orçamentária'!D105</f>
        <v>Corrimão simples, diâmetro externo = 1 1/2", em aço galvanizado</v>
      </c>
      <c r="C528" s="396"/>
      <c r="D528" s="396"/>
      <c r="E528" s="396"/>
      <c r="F528" s="396"/>
      <c r="G528" s="396"/>
      <c r="H528" s="396"/>
      <c r="I528" s="396"/>
      <c r="J528" s="396"/>
      <c r="K528" s="396"/>
      <c r="L528" s="397"/>
      <c r="M528" s="127"/>
    </row>
    <row r="529" spans="1:13" s="160" customFormat="1" x14ac:dyDescent="0.2">
      <c r="A529" s="174"/>
      <c r="B529" s="172" t="s">
        <v>710</v>
      </c>
      <c r="C529" s="163">
        <v>1</v>
      </c>
      <c r="D529" s="163">
        <v>1.96</v>
      </c>
      <c r="E529" s="163"/>
      <c r="F529" s="163"/>
      <c r="G529" s="163"/>
      <c r="H529" s="163"/>
      <c r="I529" s="163"/>
      <c r="J529" s="163"/>
      <c r="K529" s="163"/>
      <c r="L529" s="164">
        <f>D529</f>
        <v>1.96</v>
      </c>
      <c r="M529" s="175"/>
    </row>
    <row r="530" spans="1:13" s="160" customFormat="1" x14ac:dyDescent="0.2">
      <c r="A530" s="174"/>
      <c r="B530" s="176" t="s">
        <v>8</v>
      </c>
      <c r="C530" s="167"/>
      <c r="D530" s="167"/>
      <c r="E530" s="167"/>
      <c r="F530" s="167"/>
      <c r="G530" s="167"/>
      <c r="H530" s="167"/>
      <c r="I530" s="167"/>
      <c r="J530" s="167"/>
      <c r="K530" s="167"/>
      <c r="L530" s="168">
        <f>SUM(L529:L529)</f>
        <v>1.96</v>
      </c>
      <c r="M530" s="169" t="s">
        <v>22</v>
      </c>
    </row>
    <row r="531" spans="1:13" s="160" customFormat="1" x14ac:dyDescent="0.2">
      <c r="A531" s="159"/>
      <c r="B531" s="162"/>
      <c r="C531" s="162"/>
      <c r="D531" s="162"/>
      <c r="E531" s="162"/>
      <c r="F531" s="162"/>
      <c r="G531" s="162"/>
      <c r="H531" s="162"/>
      <c r="I531" s="162"/>
      <c r="J531" s="162"/>
      <c r="K531" s="162"/>
      <c r="L531" s="170"/>
      <c r="M531" s="177"/>
    </row>
    <row r="532" spans="1:13" s="128" customFormat="1" x14ac:dyDescent="0.2">
      <c r="A532" s="141" t="s">
        <v>196</v>
      </c>
      <c r="B532" s="396" t="str">
        <f>'Planilha Orçamentária'!D106</f>
        <v>Banco de concreto armado aparente Fck=15 MPa, com apoios de concreto, largura de 45 cm, espessura de 7 cm e altura de 45 cm</v>
      </c>
      <c r="C532" s="396"/>
      <c r="D532" s="396"/>
      <c r="E532" s="396"/>
      <c r="F532" s="396"/>
      <c r="G532" s="396"/>
      <c r="H532" s="396"/>
      <c r="I532" s="396"/>
      <c r="J532" s="396"/>
      <c r="K532" s="396"/>
      <c r="L532" s="397"/>
      <c r="M532" s="127"/>
    </row>
    <row r="533" spans="1:13" s="160" customFormat="1" x14ac:dyDescent="0.2">
      <c r="A533" s="174"/>
      <c r="B533" s="172" t="s">
        <v>708</v>
      </c>
      <c r="C533" s="163">
        <v>6</v>
      </c>
      <c r="D533" s="163">
        <v>1.5</v>
      </c>
      <c r="E533" s="163"/>
      <c r="F533" s="163"/>
      <c r="G533" s="163"/>
      <c r="H533" s="163"/>
      <c r="I533" s="163"/>
      <c r="J533" s="163"/>
      <c r="K533" s="163"/>
      <c r="L533" s="164">
        <f>D533*C533</f>
        <v>9</v>
      </c>
      <c r="M533" s="175"/>
    </row>
    <row r="534" spans="1:13" s="160" customFormat="1" x14ac:dyDescent="0.2">
      <c r="A534" s="174"/>
      <c r="B534" s="172" t="s">
        <v>709</v>
      </c>
      <c r="C534" s="163">
        <v>8</v>
      </c>
      <c r="D534" s="163">
        <v>1.5</v>
      </c>
      <c r="E534" s="163"/>
      <c r="F534" s="163"/>
      <c r="G534" s="163"/>
      <c r="H534" s="163"/>
      <c r="I534" s="163"/>
      <c r="J534" s="163"/>
      <c r="K534" s="163"/>
      <c r="L534" s="164">
        <f t="shared" ref="L534:L535" si="36">D534*C534</f>
        <v>12</v>
      </c>
      <c r="M534" s="175"/>
    </row>
    <row r="535" spans="1:13" s="160" customFormat="1" x14ac:dyDescent="0.2">
      <c r="A535" s="174"/>
      <c r="B535" s="172" t="s">
        <v>709</v>
      </c>
      <c r="C535" s="163">
        <v>3</v>
      </c>
      <c r="D535" s="163">
        <v>3</v>
      </c>
      <c r="E535" s="163"/>
      <c r="F535" s="163"/>
      <c r="G535" s="163"/>
      <c r="H535" s="163"/>
      <c r="I535" s="163"/>
      <c r="J535" s="163"/>
      <c r="K535" s="163"/>
      <c r="L535" s="164">
        <f t="shared" si="36"/>
        <v>9</v>
      </c>
      <c r="M535" s="175"/>
    </row>
    <row r="536" spans="1:13" s="160" customFormat="1" x14ac:dyDescent="0.2">
      <c r="A536" s="174"/>
      <c r="B536" s="176" t="s">
        <v>8</v>
      </c>
      <c r="C536" s="167"/>
      <c r="D536" s="167"/>
      <c r="E536" s="167"/>
      <c r="F536" s="167"/>
      <c r="G536" s="167"/>
      <c r="H536" s="167"/>
      <c r="I536" s="167"/>
      <c r="J536" s="167"/>
      <c r="K536" s="167"/>
      <c r="L536" s="168">
        <f>SUM(L533:L535)</f>
        <v>30</v>
      </c>
      <c r="M536" s="169" t="s">
        <v>22</v>
      </c>
    </row>
    <row r="537" spans="1:13" s="160" customFormat="1" x14ac:dyDescent="0.2">
      <c r="A537" s="159"/>
      <c r="B537" s="162"/>
      <c r="C537" s="162"/>
      <c r="D537" s="162"/>
      <c r="E537" s="162"/>
      <c r="F537" s="162"/>
      <c r="G537" s="162"/>
      <c r="H537" s="162"/>
      <c r="I537" s="162"/>
      <c r="J537" s="162"/>
      <c r="K537" s="162"/>
      <c r="L537" s="170"/>
      <c r="M537" s="177"/>
    </row>
    <row r="538" spans="1:13" s="128" customFormat="1" x14ac:dyDescent="0.2">
      <c r="A538" s="141" t="s">
        <v>199</v>
      </c>
      <c r="B538" s="396" t="str">
        <f>'Planilha Orçamentária'!D107</f>
        <v>Limpeza geral de obras</v>
      </c>
      <c r="C538" s="396"/>
      <c r="D538" s="396"/>
      <c r="E538" s="396"/>
      <c r="F538" s="396"/>
      <c r="G538" s="396"/>
      <c r="H538" s="396"/>
      <c r="I538" s="396"/>
      <c r="J538" s="396"/>
      <c r="K538" s="396"/>
      <c r="L538" s="397"/>
      <c r="M538" s="127"/>
    </row>
    <row r="539" spans="1:13" s="160" customFormat="1" x14ac:dyDescent="0.2">
      <c r="A539" s="174"/>
      <c r="B539" s="172" t="s">
        <v>711</v>
      </c>
      <c r="C539" s="163">
        <v>1</v>
      </c>
      <c r="D539" s="163"/>
      <c r="E539" s="163"/>
      <c r="F539" s="163"/>
      <c r="G539" s="178">
        <v>1038.81</v>
      </c>
      <c r="H539" s="163"/>
      <c r="I539" s="163"/>
      <c r="J539" s="163"/>
      <c r="K539" s="163"/>
      <c r="L539" s="164">
        <f>G539</f>
        <v>1038.81</v>
      </c>
      <c r="M539" s="175"/>
    </row>
    <row r="540" spans="1:13" s="160" customFormat="1" x14ac:dyDescent="0.2">
      <c r="A540" s="174"/>
      <c r="B540" s="176" t="s">
        <v>8</v>
      </c>
      <c r="C540" s="167"/>
      <c r="D540" s="167"/>
      <c r="E540" s="167"/>
      <c r="F540" s="167"/>
      <c r="G540" s="167"/>
      <c r="H540" s="167"/>
      <c r="I540" s="167"/>
      <c r="J540" s="167"/>
      <c r="K540" s="167"/>
      <c r="L540" s="168">
        <f>SUM(L539:L539)</f>
        <v>1038.81</v>
      </c>
      <c r="M540" s="169" t="s">
        <v>18</v>
      </c>
    </row>
    <row r="541" spans="1:13" s="160" customFormat="1" x14ac:dyDescent="0.2">
      <c r="A541" s="325"/>
      <c r="B541" s="326"/>
      <c r="C541" s="326"/>
      <c r="D541" s="326"/>
      <c r="E541" s="326"/>
      <c r="F541" s="326"/>
      <c r="G541" s="326"/>
      <c r="H541" s="326"/>
      <c r="I541" s="326"/>
      <c r="J541" s="326"/>
      <c r="K541" s="326"/>
      <c r="L541" s="327"/>
      <c r="M541" s="328"/>
    </row>
  </sheetData>
  <mergeCells count="82">
    <mergeCell ref="B523:L523"/>
    <mergeCell ref="B528:L528"/>
    <mergeCell ref="B532:L532"/>
    <mergeCell ref="B538:L538"/>
    <mergeCell ref="B496:L496"/>
    <mergeCell ref="B501:L501"/>
    <mergeCell ref="B506:L506"/>
    <mergeCell ref="B511:L511"/>
    <mergeCell ref="B516:L516"/>
    <mergeCell ref="B472:L472"/>
    <mergeCell ref="B478:L478"/>
    <mergeCell ref="B483:L483"/>
    <mergeCell ref="B487:L487"/>
    <mergeCell ref="B491:L491"/>
    <mergeCell ref="B402:L402"/>
    <mergeCell ref="B406:L406"/>
    <mergeCell ref="B410:L410"/>
    <mergeCell ref="B414:L414"/>
    <mergeCell ref="B376:L376"/>
    <mergeCell ref="B380:L380"/>
    <mergeCell ref="B386:L386"/>
    <mergeCell ref="B390:L390"/>
    <mergeCell ref="B394:L394"/>
    <mergeCell ref="B398:L398"/>
    <mergeCell ref="B375:L375"/>
    <mergeCell ref="B277:L277"/>
    <mergeCell ref="B291:L291"/>
    <mergeCell ref="B304:L304"/>
    <mergeCell ref="B327:L327"/>
    <mergeCell ref="B341:L341"/>
    <mergeCell ref="B354:L354"/>
    <mergeCell ref="B362:L362"/>
    <mergeCell ref="B371:L371"/>
    <mergeCell ref="B238:L238"/>
    <mergeCell ref="B78:L78"/>
    <mergeCell ref="B83:L83"/>
    <mergeCell ref="B88:L88"/>
    <mergeCell ref="B106:L106"/>
    <mergeCell ref="B112:L112"/>
    <mergeCell ref="B135:L135"/>
    <mergeCell ref="B158:L158"/>
    <mergeCell ref="B201:L201"/>
    <mergeCell ref="B225:L225"/>
    <mergeCell ref="B73:L73"/>
    <mergeCell ref="B24:L24"/>
    <mergeCell ref="B28:L28"/>
    <mergeCell ref="B33:L33"/>
    <mergeCell ref="B38:L38"/>
    <mergeCell ref="B42:L42"/>
    <mergeCell ref="B46:L46"/>
    <mergeCell ref="B50:L50"/>
    <mergeCell ref="B54:L54"/>
    <mergeCell ref="B56:L56"/>
    <mergeCell ref="B62:L62"/>
    <mergeCell ref="B68:L68"/>
    <mergeCell ref="B20:L20"/>
    <mergeCell ref="A4:D4"/>
    <mergeCell ref="A3:B3"/>
    <mergeCell ref="A1:M1"/>
    <mergeCell ref="A5:M5"/>
    <mergeCell ref="G2:M2"/>
    <mergeCell ref="G3:M3"/>
    <mergeCell ref="G4:M4"/>
    <mergeCell ref="A2:D2"/>
    <mergeCell ref="E3:F3"/>
    <mergeCell ref="B7:L7"/>
    <mergeCell ref="B8:L8"/>
    <mergeCell ref="B12:L12"/>
    <mergeCell ref="B16:L16"/>
    <mergeCell ref="B419:L419"/>
    <mergeCell ref="B421:L421"/>
    <mergeCell ref="B425:L425"/>
    <mergeCell ref="B429:L429"/>
    <mergeCell ref="B433:L433"/>
    <mergeCell ref="B454:L454"/>
    <mergeCell ref="B458:L458"/>
    <mergeCell ref="B463:L463"/>
    <mergeCell ref="B467:L467"/>
    <mergeCell ref="B437:L437"/>
    <mergeCell ref="B441:L441"/>
    <mergeCell ref="B446:L446"/>
    <mergeCell ref="B450:L450"/>
  </mergeCells>
  <phoneticPr fontId="4" type="noConversion"/>
  <pageMargins left="0.511811024" right="0.511811024" top="0.78740157499999996" bottom="0.78740157499999996" header="0.31496062000000002" footer="0.31496062000000002"/>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4532D-AA42-4019-AA83-AEA8AB7E4C9E}">
  <dimension ref="A1:I26"/>
  <sheetViews>
    <sheetView view="pageBreakPreview" zoomScale="90" zoomScaleNormal="80" zoomScaleSheetLayoutView="90" zoomScalePageLayoutView="60" workbookViewId="0">
      <selection sqref="A1:G1"/>
    </sheetView>
  </sheetViews>
  <sheetFormatPr defaultColWidth="10.7109375" defaultRowHeight="15" customHeight="1" x14ac:dyDescent="0.25"/>
  <cols>
    <col min="1" max="1" width="10.7109375" style="220" customWidth="1"/>
    <col min="2" max="2" width="35.7109375" style="220" customWidth="1"/>
    <col min="3" max="3" width="20.7109375" style="220" customWidth="1"/>
    <col min="4" max="4" width="19.5703125" style="220" bestFit="1" customWidth="1"/>
    <col min="5" max="7" width="12.7109375" style="220" customWidth="1"/>
    <col min="8" max="9" width="11.7109375" style="220" bestFit="1" customWidth="1"/>
    <col min="10" max="16384" width="10.7109375" style="220"/>
  </cols>
  <sheetData>
    <row r="1" spans="1:9" ht="15" customHeight="1" x14ac:dyDescent="0.25">
      <c r="A1" s="439" t="s">
        <v>243</v>
      </c>
      <c r="B1" s="440"/>
      <c r="C1" s="440"/>
      <c r="D1" s="440"/>
      <c r="E1" s="440"/>
      <c r="F1" s="440"/>
      <c r="G1" s="440"/>
    </row>
    <row r="2" spans="1:9" ht="15" customHeight="1" x14ac:dyDescent="0.25">
      <c r="A2" s="443" t="s">
        <v>721</v>
      </c>
      <c r="B2" s="444"/>
      <c r="C2" s="444"/>
      <c r="D2" s="444"/>
      <c r="E2" s="444"/>
      <c r="F2" s="444"/>
      <c r="G2" s="221"/>
    </row>
    <row r="3" spans="1:9" ht="15" customHeight="1" x14ac:dyDescent="0.25">
      <c r="A3" s="443" t="s">
        <v>722</v>
      </c>
      <c r="B3" s="444"/>
      <c r="C3" s="444"/>
      <c r="D3" s="444"/>
      <c r="E3" s="222"/>
      <c r="F3" s="223"/>
      <c r="G3" s="223"/>
    </row>
    <row r="4" spans="1:9" s="225" customFormat="1" ht="12.75" x14ac:dyDescent="0.25">
      <c r="A4" s="445" t="s">
        <v>723</v>
      </c>
      <c r="B4" s="446"/>
      <c r="C4" s="446"/>
      <c r="D4" s="446"/>
      <c r="E4" s="224"/>
      <c r="F4" s="224"/>
      <c r="G4" s="224"/>
    </row>
    <row r="5" spans="1:9" ht="24.95" customHeight="1" x14ac:dyDescent="0.25">
      <c r="A5" s="447" t="s">
        <v>3</v>
      </c>
      <c r="B5" s="447" t="s">
        <v>234</v>
      </c>
      <c r="C5" s="447"/>
      <c r="D5" s="448" t="s">
        <v>236</v>
      </c>
      <c r="E5" s="441" t="s">
        <v>244</v>
      </c>
      <c r="F5" s="442"/>
      <c r="G5" s="442"/>
    </row>
    <row r="6" spans="1:9" ht="24.95" customHeight="1" x14ac:dyDescent="0.25">
      <c r="A6" s="447"/>
      <c r="B6" s="447"/>
      <c r="C6" s="447"/>
      <c r="D6" s="448"/>
      <c r="E6" s="226">
        <v>1</v>
      </c>
      <c r="F6" s="226">
        <v>2</v>
      </c>
      <c r="G6" s="226">
        <v>3</v>
      </c>
    </row>
    <row r="7" spans="1:9" ht="24.95" customHeight="1" x14ac:dyDescent="0.25">
      <c r="A7" s="429">
        <v>1</v>
      </c>
      <c r="B7" s="437" t="str">
        <f>'Planilha Orçamentária'!D8</f>
        <v>SERVIÇOS PRELIMINARES</v>
      </c>
      <c r="C7" s="227" t="s">
        <v>245</v>
      </c>
      <c r="D7" s="433">
        <f>'Planilha Orçamentária'!H20</f>
        <v>26699.31</v>
      </c>
      <c r="E7" s="228">
        <v>1</v>
      </c>
      <c r="F7" s="228"/>
      <c r="G7" s="228"/>
    </row>
    <row r="8" spans="1:9" ht="24.95" customHeight="1" x14ac:dyDescent="0.25">
      <c r="A8" s="430"/>
      <c r="B8" s="438"/>
      <c r="C8" s="229" t="s">
        <v>246</v>
      </c>
      <c r="D8" s="434"/>
      <c r="E8" s="230">
        <f>E7*$D$7</f>
        <v>26699.31</v>
      </c>
      <c r="F8" s="230"/>
      <c r="G8" s="230"/>
      <c r="H8" s="220">
        <f>SUM(E8:G8)</f>
        <v>26699.31</v>
      </c>
      <c r="I8" s="220">
        <f>H8-D7</f>
        <v>0</v>
      </c>
    </row>
    <row r="9" spans="1:9" ht="24.95" customHeight="1" x14ac:dyDescent="0.25">
      <c r="A9" s="429">
        <v>2</v>
      </c>
      <c r="B9" s="431" t="str">
        <f>'Planilha Orçamentária'!D22</f>
        <v>ESTRUTURAL</v>
      </c>
      <c r="C9" s="227" t="s">
        <v>245</v>
      </c>
      <c r="D9" s="433">
        <f>'Planilha Orçamentária'!H52</f>
        <v>62808.9</v>
      </c>
      <c r="E9" s="228">
        <v>0.75</v>
      </c>
      <c r="F9" s="228">
        <v>0.25</v>
      </c>
      <c r="G9" s="228"/>
    </row>
    <row r="10" spans="1:9" ht="24.95" customHeight="1" x14ac:dyDescent="0.25">
      <c r="A10" s="430"/>
      <c r="B10" s="432"/>
      <c r="C10" s="229" t="s">
        <v>246</v>
      </c>
      <c r="D10" s="434"/>
      <c r="E10" s="230">
        <f>E9*$D$9</f>
        <v>47106.675000000003</v>
      </c>
      <c r="F10" s="230">
        <f t="shared" ref="F10:G10" si="0">F9*$D$9</f>
        <v>15702.225</v>
      </c>
      <c r="G10" s="230">
        <f t="shared" si="0"/>
        <v>0</v>
      </c>
      <c r="H10" s="220">
        <f t="shared" ref="H10:H22" si="1">SUM(E10:G10)</f>
        <v>62808.9</v>
      </c>
      <c r="I10" s="220">
        <f>H10-D9</f>
        <v>0</v>
      </c>
    </row>
    <row r="11" spans="1:9" ht="24.95" customHeight="1" x14ac:dyDescent="0.25">
      <c r="A11" s="429">
        <v>3</v>
      </c>
      <c r="B11" s="437" t="str">
        <f>'Planilha Orçamentária'!D54</f>
        <v>PLAYGROUND</v>
      </c>
      <c r="C11" s="227" t="s">
        <v>245</v>
      </c>
      <c r="D11" s="433">
        <f>'Planilha Orçamentária'!H65</f>
        <v>63596.72</v>
      </c>
      <c r="E11" s="228">
        <v>0.2</v>
      </c>
      <c r="F11" s="228">
        <v>0.4</v>
      </c>
      <c r="G11" s="228">
        <v>0.4</v>
      </c>
    </row>
    <row r="12" spans="1:9" ht="24.95" customHeight="1" x14ac:dyDescent="0.25">
      <c r="A12" s="430"/>
      <c r="B12" s="438"/>
      <c r="C12" s="229" t="s">
        <v>246</v>
      </c>
      <c r="D12" s="434"/>
      <c r="E12" s="230">
        <f>E11*$D$11</f>
        <v>12719.344000000001</v>
      </c>
      <c r="F12" s="230">
        <f t="shared" ref="F12:G12" si="2">F11*$D$11</f>
        <v>25438.688000000002</v>
      </c>
      <c r="G12" s="230">
        <f t="shared" si="2"/>
        <v>25438.688000000002</v>
      </c>
      <c r="H12" s="220">
        <f t="shared" si="1"/>
        <v>63596.720000000008</v>
      </c>
      <c r="I12" s="220">
        <f t="shared" ref="I12:I22" si="3">H12-D11</f>
        <v>0</v>
      </c>
    </row>
    <row r="13" spans="1:9" ht="24.95" customHeight="1" x14ac:dyDescent="0.25">
      <c r="A13" s="429">
        <v>4</v>
      </c>
      <c r="B13" s="437" t="str">
        <f>'Planilha Orçamentária'!D67</f>
        <v>CAMPO DE AREIA</v>
      </c>
      <c r="C13" s="227" t="s">
        <v>245</v>
      </c>
      <c r="D13" s="433">
        <f>'Planilha Orçamentária'!H80</f>
        <v>74994.649999999994</v>
      </c>
      <c r="E13" s="228"/>
      <c r="F13" s="228">
        <v>0.5</v>
      </c>
      <c r="G13" s="228">
        <v>0.5</v>
      </c>
    </row>
    <row r="14" spans="1:9" ht="24.95" customHeight="1" x14ac:dyDescent="0.25">
      <c r="A14" s="430"/>
      <c r="B14" s="438"/>
      <c r="C14" s="229" t="s">
        <v>246</v>
      </c>
      <c r="D14" s="434"/>
      <c r="E14" s="230">
        <f>E13*$D$13</f>
        <v>0</v>
      </c>
      <c r="F14" s="230">
        <f t="shared" ref="F14:G14" si="4">F13*$D$13</f>
        <v>37497.324999999997</v>
      </c>
      <c r="G14" s="230">
        <f t="shared" si="4"/>
        <v>37497.324999999997</v>
      </c>
      <c r="H14" s="220">
        <f t="shared" si="1"/>
        <v>74994.649999999994</v>
      </c>
      <c r="I14" s="220">
        <f t="shared" si="3"/>
        <v>0</v>
      </c>
    </row>
    <row r="15" spans="1:9" ht="24.95" customHeight="1" x14ac:dyDescent="0.25">
      <c r="A15" s="429">
        <v>5</v>
      </c>
      <c r="B15" s="437" t="str">
        <f>'Planilha Orçamentária'!D82</f>
        <v xml:space="preserve">INSTALAÇÕES HIDRÁULICAS </v>
      </c>
      <c r="C15" s="227" t="s">
        <v>245</v>
      </c>
      <c r="D15" s="433">
        <f>'Planilha Orçamentária'!H85</f>
        <v>484.74</v>
      </c>
      <c r="E15" s="228"/>
      <c r="F15" s="228">
        <v>1</v>
      </c>
      <c r="G15" s="228"/>
    </row>
    <row r="16" spans="1:9" ht="24.95" customHeight="1" x14ac:dyDescent="0.25">
      <c r="A16" s="430"/>
      <c r="B16" s="438"/>
      <c r="C16" s="229" t="s">
        <v>246</v>
      </c>
      <c r="D16" s="434"/>
      <c r="E16" s="230">
        <f>E15*$D$15</f>
        <v>0</v>
      </c>
      <c r="F16" s="230">
        <f t="shared" ref="F16:G16" si="5">F15*$D$15</f>
        <v>484.74</v>
      </c>
      <c r="G16" s="230">
        <f t="shared" si="5"/>
        <v>0</v>
      </c>
      <c r="H16" s="220">
        <f t="shared" si="1"/>
        <v>484.74</v>
      </c>
      <c r="I16" s="220">
        <f t="shared" si="3"/>
        <v>0</v>
      </c>
    </row>
    <row r="17" spans="1:9" ht="24.95" customHeight="1" x14ac:dyDescent="0.25">
      <c r="A17" s="429">
        <v>6</v>
      </c>
      <c r="B17" s="431" t="str">
        <f>'Planilha Orçamentária'!D87</f>
        <v>INSTALAÇÕES ELÉTRICAS</v>
      </c>
      <c r="C17" s="227" t="s">
        <v>245</v>
      </c>
      <c r="D17" s="433">
        <f>'Planilha Orçamentária'!H93</f>
        <v>23164.06</v>
      </c>
      <c r="E17" s="228"/>
      <c r="F17" s="228">
        <v>0.35</v>
      </c>
      <c r="G17" s="228">
        <v>0.65</v>
      </c>
    </row>
    <row r="18" spans="1:9" ht="24.95" customHeight="1" x14ac:dyDescent="0.25">
      <c r="A18" s="430"/>
      <c r="B18" s="432"/>
      <c r="C18" s="229" t="s">
        <v>246</v>
      </c>
      <c r="D18" s="434"/>
      <c r="E18" s="230">
        <f>E17*$D$17</f>
        <v>0</v>
      </c>
      <c r="F18" s="230">
        <f t="shared" ref="F18:G18" si="6">F17*$D$17</f>
        <v>8107.4210000000003</v>
      </c>
      <c r="G18" s="230">
        <f t="shared" si="6"/>
        <v>15056.639000000001</v>
      </c>
      <c r="H18" s="220">
        <f t="shared" si="1"/>
        <v>23164.06</v>
      </c>
      <c r="I18" s="220">
        <f t="shared" si="3"/>
        <v>0</v>
      </c>
    </row>
    <row r="19" spans="1:9" ht="24.95" customHeight="1" x14ac:dyDescent="0.25">
      <c r="A19" s="429">
        <v>7</v>
      </c>
      <c r="B19" s="431" t="str">
        <f>'Planilha Orçamentária'!D95</f>
        <v>CALÇADA</v>
      </c>
      <c r="C19" s="227" t="s">
        <v>245</v>
      </c>
      <c r="D19" s="433">
        <f>'Planilha Orçamentária'!H101</f>
        <v>28030.100000000002</v>
      </c>
      <c r="E19" s="228"/>
      <c r="F19" s="228"/>
      <c r="G19" s="228">
        <v>1</v>
      </c>
    </row>
    <row r="20" spans="1:9" ht="24.95" customHeight="1" x14ac:dyDescent="0.25">
      <c r="A20" s="430"/>
      <c r="B20" s="432"/>
      <c r="C20" s="229" t="s">
        <v>246</v>
      </c>
      <c r="D20" s="434"/>
      <c r="E20" s="231">
        <f>E19*$D$19</f>
        <v>0</v>
      </c>
      <c r="F20" s="231">
        <f t="shared" ref="F20:G20" si="7">F19*$D$19</f>
        <v>0</v>
      </c>
      <c r="G20" s="231">
        <f t="shared" si="7"/>
        <v>28030.100000000002</v>
      </c>
      <c r="H20" s="220">
        <f t="shared" si="1"/>
        <v>28030.100000000002</v>
      </c>
      <c r="I20" s="220">
        <f t="shared" si="3"/>
        <v>0</v>
      </c>
    </row>
    <row r="21" spans="1:9" ht="24.95" customHeight="1" x14ac:dyDescent="0.25">
      <c r="A21" s="429">
        <v>8</v>
      </c>
      <c r="B21" s="431" t="str">
        <f>'Planilha Orçamentária'!D103</f>
        <v xml:space="preserve">SERVIÇOS COMPLEMENTARES </v>
      </c>
      <c r="C21" s="227" t="s">
        <v>245</v>
      </c>
      <c r="D21" s="433">
        <f>'Planilha Orçamentária'!H108</f>
        <v>10333.349999999999</v>
      </c>
      <c r="E21" s="228"/>
      <c r="F21" s="228">
        <v>0.5</v>
      </c>
      <c r="G21" s="228">
        <v>0.5</v>
      </c>
    </row>
    <row r="22" spans="1:9" ht="24.95" customHeight="1" x14ac:dyDescent="0.25">
      <c r="A22" s="430"/>
      <c r="B22" s="432"/>
      <c r="C22" s="229" t="s">
        <v>246</v>
      </c>
      <c r="D22" s="434"/>
      <c r="E22" s="231">
        <f>E21*$D$21</f>
        <v>0</v>
      </c>
      <c r="F22" s="231">
        <f t="shared" ref="F22:G22" si="8">F21*$D$21</f>
        <v>5166.6749999999993</v>
      </c>
      <c r="G22" s="231">
        <f t="shared" si="8"/>
        <v>5166.6749999999993</v>
      </c>
      <c r="H22" s="220">
        <f t="shared" si="1"/>
        <v>10333.349999999999</v>
      </c>
      <c r="I22" s="220">
        <f t="shared" si="3"/>
        <v>0</v>
      </c>
    </row>
    <row r="23" spans="1:9" ht="24.95" customHeight="1" x14ac:dyDescent="0.25">
      <c r="A23" s="435" t="s">
        <v>247</v>
      </c>
      <c r="B23" s="435"/>
      <c r="C23" s="435"/>
      <c r="D23" s="436">
        <f>SUM(D7:D22)</f>
        <v>290111.82999999996</v>
      </c>
      <c r="E23" s="232">
        <f>E25/$D$23</f>
        <v>0.29824819277448977</v>
      </c>
      <c r="F23" s="232">
        <f>F25/$D$23</f>
        <v>0.31848778452088639</v>
      </c>
      <c r="G23" s="232">
        <f>G25/$D$23</f>
        <v>0.38326402270462401</v>
      </c>
    </row>
    <row r="24" spans="1:9" ht="24.95" customHeight="1" x14ac:dyDescent="0.25">
      <c r="A24" s="435" t="s">
        <v>248</v>
      </c>
      <c r="B24" s="435"/>
      <c r="C24" s="435"/>
      <c r="D24" s="436"/>
      <c r="E24" s="232">
        <f>E23</f>
        <v>0.29824819277448977</v>
      </c>
      <c r="F24" s="232">
        <f>F23+E24</f>
        <v>0.61673597729537621</v>
      </c>
      <c r="G24" s="232">
        <f>G23+F24</f>
        <v>1.0000000000000002</v>
      </c>
    </row>
    <row r="25" spans="1:9" ht="24.95" customHeight="1" x14ac:dyDescent="0.25">
      <c r="A25" s="435" t="s">
        <v>249</v>
      </c>
      <c r="B25" s="435"/>
      <c r="C25" s="435"/>
      <c r="D25" s="436"/>
      <c r="E25" s="233">
        <f>SUM(E8,E10,E12,E14,E16,E18,E20,E22)</f>
        <v>86525.328999999998</v>
      </c>
      <c r="F25" s="233">
        <f t="shared" ref="F25:G25" si="9">SUM(F8,F10,F12,F14,F16,F18,F20,F22)</f>
        <v>92397.074000000008</v>
      </c>
      <c r="G25" s="233">
        <f t="shared" si="9"/>
        <v>111189.42700000001</v>
      </c>
    </row>
    <row r="26" spans="1:9" ht="24.95" customHeight="1" x14ac:dyDescent="0.25">
      <c r="A26" s="435" t="s">
        <v>250</v>
      </c>
      <c r="B26" s="435"/>
      <c r="C26" s="435"/>
      <c r="D26" s="436"/>
      <c r="E26" s="233">
        <f>E25</f>
        <v>86525.328999999998</v>
      </c>
      <c r="F26" s="233">
        <f>F25+E26</f>
        <v>178922.40299999999</v>
      </c>
      <c r="G26" s="233">
        <f>G25+F26</f>
        <v>290111.83</v>
      </c>
    </row>
  </sheetData>
  <mergeCells count="37">
    <mergeCell ref="A1:G1"/>
    <mergeCell ref="E5:G5"/>
    <mergeCell ref="A7:A8"/>
    <mergeCell ref="B7:B8"/>
    <mergeCell ref="D7:D8"/>
    <mergeCell ref="A2:F2"/>
    <mergeCell ref="A3:D3"/>
    <mergeCell ref="A4:D4"/>
    <mergeCell ref="A5:A6"/>
    <mergeCell ref="B5:C6"/>
    <mergeCell ref="D5:D6"/>
    <mergeCell ref="A9:A10"/>
    <mergeCell ref="B9:B10"/>
    <mergeCell ref="D9:D10"/>
    <mergeCell ref="A11:A12"/>
    <mergeCell ref="B11:B12"/>
    <mergeCell ref="D11:D12"/>
    <mergeCell ref="A13:A14"/>
    <mergeCell ref="B13:B14"/>
    <mergeCell ref="D13:D14"/>
    <mergeCell ref="A15:A16"/>
    <mergeCell ref="B15:B16"/>
    <mergeCell ref="D15:D16"/>
    <mergeCell ref="A17:A18"/>
    <mergeCell ref="B17:B18"/>
    <mergeCell ref="D17:D18"/>
    <mergeCell ref="A19:A20"/>
    <mergeCell ref="B19:B20"/>
    <mergeCell ref="D19:D20"/>
    <mergeCell ref="A21:A22"/>
    <mergeCell ref="B21:B22"/>
    <mergeCell ref="D21:D22"/>
    <mergeCell ref="A23:C23"/>
    <mergeCell ref="D23:D26"/>
    <mergeCell ref="A24:C24"/>
    <mergeCell ref="A25:C25"/>
    <mergeCell ref="A26:C26"/>
  </mergeCells>
  <conditionalFormatting sqref="E7:G26">
    <cfRule type="cellIs" dxfId="1" priority="1" operator="equal">
      <formula>0</formula>
    </cfRule>
  </conditionalFormatting>
  <printOptions horizontalCentered="1" gridLines="1"/>
  <pageMargins left="0.51181102362204722" right="0.51181102362204722" top="1.1811023622047245" bottom="0.78740157480314965" header="0.31496062992125984" footer="0.31496062992125984"/>
  <pageSetup paperSize="9" scale="75" fitToWidth="0" fitToHeight="0" orientation="landscape" r:id="rId1"/>
  <headerFooter alignWithMargins="0">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B0820-9489-4014-913E-69BFBD0F77BC}">
  <dimension ref="A1:I375"/>
  <sheetViews>
    <sheetView view="pageBreakPreview" zoomScaleNormal="100" zoomScaleSheetLayoutView="100" workbookViewId="0">
      <selection activeCell="I197" sqref="I197"/>
    </sheetView>
  </sheetViews>
  <sheetFormatPr defaultRowHeight="12.75" x14ac:dyDescent="0.2"/>
  <cols>
    <col min="1" max="1" width="50.28515625" style="194" customWidth="1"/>
    <col min="2" max="2" width="9.140625" style="194"/>
    <col min="3" max="3" width="12.140625" style="194" bestFit="1" customWidth="1"/>
    <col min="4" max="4" width="11" style="196" customWidth="1"/>
    <col min="5" max="5" width="12.140625" style="197" customWidth="1"/>
    <col min="6" max="6" width="11.5703125" style="197" bestFit="1" customWidth="1"/>
    <col min="7" max="16384" width="9.140625" style="194"/>
  </cols>
  <sheetData>
    <row r="1" spans="1:9" ht="14.25" x14ac:dyDescent="0.2">
      <c r="A1" s="486" t="s">
        <v>251</v>
      </c>
      <c r="B1" s="487"/>
      <c r="C1" s="487"/>
      <c r="D1" s="487"/>
      <c r="E1" s="487"/>
      <c r="F1" s="198"/>
    </row>
    <row r="2" spans="1:9" x14ac:dyDescent="0.2">
      <c r="A2" s="409" t="s">
        <v>715</v>
      </c>
      <c r="B2" s="410"/>
      <c r="C2" s="410"/>
      <c r="D2" s="410"/>
      <c r="E2" s="488" t="s">
        <v>769</v>
      </c>
      <c r="F2" s="489"/>
    </row>
    <row r="3" spans="1:9" x14ac:dyDescent="0.2">
      <c r="A3" s="409" t="s">
        <v>491</v>
      </c>
      <c r="B3" s="410"/>
      <c r="C3" s="410"/>
      <c r="D3" s="410"/>
      <c r="E3" s="199"/>
      <c r="F3" s="200"/>
    </row>
    <row r="4" spans="1:9" x14ac:dyDescent="0.2">
      <c r="A4" s="407" t="s">
        <v>716</v>
      </c>
      <c r="B4" s="408"/>
      <c r="C4" s="408"/>
      <c r="D4" s="408"/>
      <c r="E4" s="408"/>
      <c r="F4" s="200"/>
    </row>
    <row r="5" spans="1:9" ht="30.75" customHeight="1" x14ac:dyDescent="0.2">
      <c r="A5" s="471" t="s">
        <v>717</v>
      </c>
      <c r="B5" s="472"/>
      <c r="C5" s="472"/>
      <c r="D5" s="473"/>
      <c r="E5" s="201" t="s">
        <v>252</v>
      </c>
      <c r="F5" s="202" t="s">
        <v>18</v>
      </c>
      <c r="I5" s="195"/>
    </row>
    <row r="6" spans="1:9" ht="12.75" customHeight="1" x14ac:dyDescent="0.2">
      <c r="A6" s="317" t="s">
        <v>253</v>
      </c>
      <c r="B6" s="317" t="s">
        <v>254</v>
      </c>
      <c r="C6" s="317" t="s">
        <v>255</v>
      </c>
      <c r="D6" s="203" t="s">
        <v>256</v>
      </c>
      <c r="E6" s="204" t="s">
        <v>257</v>
      </c>
      <c r="F6" s="204" t="s">
        <v>258</v>
      </c>
    </row>
    <row r="7" spans="1:9" ht="12.75" customHeight="1" x14ac:dyDescent="0.2">
      <c r="A7" s="195" t="s">
        <v>259</v>
      </c>
      <c r="B7" s="318" t="s">
        <v>260</v>
      </c>
      <c r="C7" s="218" t="s">
        <v>747</v>
      </c>
      <c r="D7" s="206">
        <v>0.15</v>
      </c>
      <c r="E7" s="207">
        <v>14.17</v>
      </c>
      <c r="F7" s="207">
        <f>TRUNC(E7*D7,2)</f>
        <v>2.12</v>
      </c>
    </row>
    <row r="8" spans="1:9" ht="12.75" customHeight="1" x14ac:dyDescent="0.2">
      <c r="A8" s="195" t="s">
        <v>745</v>
      </c>
      <c r="B8" s="318" t="s">
        <v>260</v>
      </c>
      <c r="C8" s="218" t="s">
        <v>746</v>
      </c>
      <c r="D8" s="206">
        <v>0.15</v>
      </c>
      <c r="E8" s="207">
        <v>9.1300000000000008</v>
      </c>
      <c r="F8" s="207">
        <f>TRUNC(E8*D8,2)</f>
        <v>1.36</v>
      </c>
    </row>
    <row r="9" spans="1:9" ht="12.75" customHeight="1" x14ac:dyDescent="0.2">
      <c r="A9" s="449" t="s">
        <v>261</v>
      </c>
      <c r="B9" s="449"/>
      <c r="C9" s="449"/>
      <c r="D9" s="449"/>
      <c r="E9" s="449"/>
      <c r="F9" s="207">
        <f>SUM(F7:F8)</f>
        <v>3.4800000000000004</v>
      </c>
    </row>
    <row r="10" spans="1:9" ht="12.75" customHeight="1" x14ac:dyDescent="0.2">
      <c r="A10" s="474"/>
      <c r="B10" s="474"/>
      <c r="C10" s="474"/>
      <c r="D10" s="474"/>
      <c r="E10" s="474"/>
      <c r="F10" s="474"/>
    </row>
    <row r="11" spans="1:9" ht="12.75" customHeight="1" x14ac:dyDescent="0.2">
      <c r="A11" s="317" t="s">
        <v>262</v>
      </c>
      <c r="B11" s="317" t="s">
        <v>254</v>
      </c>
      <c r="C11" s="317" t="s">
        <v>255</v>
      </c>
      <c r="D11" s="203" t="s">
        <v>256</v>
      </c>
      <c r="E11" s="204" t="s">
        <v>257</v>
      </c>
      <c r="F11" s="204" t="s">
        <v>258</v>
      </c>
    </row>
    <row r="12" spans="1:9" ht="25.5" x14ac:dyDescent="0.2">
      <c r="A12" s="208" t="s">
        <v>718</v>
      </c>
      <c r="B12" s="318" t="s">
        <v>18</v>
      </c>
      <c r="C12" s="318" t="s">
        <v>263</v>
      </c>
      <c r="D12" s="206">
        <v>1</v>
      </c>
      <c r="E12" s="207">
        <v>39.979999999999997</v>
      </c>
      <c r="F12" s="207">
        <f>TRUNC(E12*D12,2)</f>
        <v>39.979999999999997</v>
      </c>
    </row>
    <row r="13" spans="1:9" ht="12.75" customHeight="1" x14ac:dyDescent="0.2">
      <c r="A13" s="209" t="s">
        <v>264</v>
      </c>
      <c r="B13" s="318" t="s">
        <v>62</v>
      </c>
      <c r="C13" s="218" t="s">
        <v>748</v>
      </c>
      <c r="D13" s="206">
        <v>0.15</v>
      </c>
      <c r="E13" s="207">
        <v>25.24</v>
      </c>
      <c r="F13" s="210">
        <f>TRUNC(E13*D13,2)</f>
        <v>3.78</v>
      </c>
    </row>
    <row r="14" spans="1:9" ht="12.75" customHeight="1" x14ac:dyDescent="0.2">
      <c r="A14" s="449" t="s">
        <v>261</v>
      </c>
      <c r="B14" s="449"/>
      <c r="C14" s="449"/>
      <c r="D14" s="449"/>
      <c r="E14" s="449"/>
      <c r="F14" s="207">
        <f>SUM(F12:F13)</f>
        <v>43.76</v>
      </c>
    </row>
    <row r="15" spans="1:9" ht="12.75" customHeight="1" x14ac:dyDescent="0.2">
      <c r="A15" s="450"/>
      <c r="B15" s="450"/>
      <c r="C15" s="450"/>
      <c r="D15" s="450"/>
      <c r="E15" s="450"/>
      <c r="F15" s="450"/>
    </row>
    <row r="16" spans="1:9" ht="12.75" customHeight="1" x14ac:dyDescent="0.2">
      <c r="A16" s="451" t="s">
        <v>265</v>
      </c>
      <c r="B16" s="451"/>
      <c r="C16" s="451"/>
      <c r="D16" s="451"/>
      <c r="E16" s="451"/>
      <c r="F16" s="451"/>
    </row>
    <row r="17" spans="1:6" ht="12.75" customHeight="1" x14ac:dyDescent="0.2">
      <c r="A17" s="317" t="s">
        <v>266</v>
      </c>
      <c r="B17" s="317" t="s">
        <v>267</v>
      </c>
      <c r="C17" s="317" t="s">
        <v>268</v>
      </c>
      <c r="D17" s="452" t="s">
        <v>269</v>
      </c>
      <c r="E17" s="452"/>
      <c r="F17" s="452"/>
    </row>
    <row r="18" spans="1:6" ht="12.75" customHeight="1" x14ac:dyDescent="0.2">
      <c r="A18" s="211" t="s">
        <v>270</v>
      </c>
      <c r="B18" s="212"/>
      <c r="C18" s="298">
        <f>F9</f>
        <v>3.4800000000000004</v>
      </c>
      <c r="D18" s="452"/>
      <c r="E18" s="452"/>
      <c r="F18" s="452"/>
    </row>
    <row r="19" spans="1:6" ht="12.75" customHeight="1" x14ac:dyDescent="0.2">
      <c r="A19" s="211" t="s">
        <v>271</v>
      </c>
      <c r="B19" s="213"/>
      <c r="C19" s="298">
        <f>F14</f>
        <v>43.76</v>
      </c>
      <c r="D19" s="452"/>
      <c r="E19" s="452"/>
      <c r="F19" s="452"/>
    </row>
    <row r="20" spans="1:6" ht="12.75" customHeight="1" x14ac:dyDescent="0.2">
      <c r="A20" s="211" t="s">
        <v>272</v>
      </c>
      <c r="B20" s="211"/>
      <c r="C20" s="298">
        <v>0</v>
      </c>
      <c r="D20" s="452"/>
      <c r="E20" s="452"/>
      <c r="F20" s="452"/>
    </row>
    <row r="21" spans="1:6" ht="12.75" customHeight="1" x14ac:dyDescent="0.2">
      <c r="A21" s="211" t="s">
        <v>273</v>
      </c>
      <c r="B21" s="211"/>
      <c r="C21" s="298">
        <v>1</v>
      </c>
      <c r="D21" s="452"/>
      <c r="E21" s="452"/>
      <c r="F21" s="452"/>
    </row>
    <row r="22" spans="1:6" ht="12.75" customHeight="1" x14ac:dyDescent="0.2">
      <c r="A22" s="211" t="s">
        <v>274</v>
      </c>
      <c r="B22" s="211"/>
      <c r="C22" s="298">
        <f>C18+C20</f>
        <v>3.4800000000000004</v>
      </c>
      <c r="D22" s="452"/>
      <c r="E22" s="452"/>
      <c r="F22" s="452"/>
    </row>
    <row r="23" spans="1:6" ht="12.75" customHeight="1" x14ac:dyDescent="0.2">
      <c r="A23" s="211" t="s">
        <v>275</v>
      </c>
      <c r="B23" s="211"/>
      <c r="C23" s="298">
        <f>(C18+C20)/C21</f>
        <v>3.4800000000000004</v>
      </c>
      <c r="D23" s="452"/>
      <c r="E23" s="452"/>
      <c r="F23" s="452"/>
    </row>
    <row r="24" spans="1:6" ht="12.75" customHeight="1" x14ac:dyDescent="0.2">
      <c r="A24" s="211" t="s">
        <v>276</v>
      </c>
      <c r="B24" s="211"/>
      <c r="C24" s="298">
        <f>C19+C23</f>
        <v>47.239999999999995</v>
      </c>
      <c r="D24" s="452"/>
      <c r="E24" s="452"/>
      <c r="F24" s="452"/>
    </row>
    <row r="25" spans="1:6" ht="12.75" customHeight="1" x14ac:dyDescent="0.2">
      <c r="A25" s="211" t="s">
        <v>277</v>
      </c>
      <c r="B25" s="300">
        <v>0.2631</v>
      </c>
      <c r="C25" s="299">
        <f>C24*B25</f>
        <v>12.428843999999998</v>
      </c>
      <c r="D25" s="452"/>
      <c r="E25" s="452"/>
      <c r="F25" s="452"/>
    </row>
    <row r="26" spans="1:6" ht="12.75" customHeight="1" x14ac:dyDescent="0.2">
      <c r="A26" s="211" t="s">
        <v>278</v>
      </c>
      <c r="B26" s="453">
        <f>C24+C25</f>
        <v>59.668843999999993</v>
      </c>
      <c r="C26" s="453"/>
      <c r="D26" s="452"/>
      <c r="E26" s="452"/>
      <c r="F26" s="452"/>
    </row>
    <row r="27" spans="1:6" ht="12.75" customHeight="1" x14ac:dyDescent="0.2">
      <c r="A27" s="450"/>
      <c r="B27" s="450"/>
      <c r="C27" s="450"/>
      <c r="D27" s="450"/>
      <c r="E27" s="450"/>
      <c r="F27" s="450"/>
    </row>
    <row r="28" spans="1:6" ht="29.25" customHeight="1" x14ac:dyDescent="0.2">
      <c r="A28" s="471" t="s">
        <v>719</v>
      </c>
      <c r="B28" s="472"/>
      <c r="C28" s="472"/>
      <c r="D28" s="473"/>
      <c r="E28" s="201" t="s">
        <v>279</v>
      </c>
      <c r="F28" s="202" t="s">
        <v>18</v>
      </c>
    </row>
    <row r="29" spans="1:6" x14ac:dyDescent="0.2">
      <c r="A29" s="317" t="s">
        <v>253</v>
      </c>
      <c r="B29" s="317" t="s">
        <v>254</v>
      </c>
      <c r="C29" s="317" t="s">
        <v>255</v>
      </c>
      <c r="D29" s="203" t="s">
        <v>256</v>
      </c>
      <c r="E29" s="204" t="s">
        <v>257</v>
      </c>
      <c r="F29" s="204" t="s">
        <v>258</v>
      </c>
    </row>
    <row r="30" spans="1:6" x14ac:dyDescent="0.2">
      <c r="A30" s="195" t="s">
        <v>280</v>
      </c>
      <c r="B30" s="318" t="s">
        <v>260</v>
      </c>
      <c r="C30" s="218" t="s">
        <v>756</v>
      </c>
      <c r="D30" s="206">
        <v>2</v>
      </c>
      <c r="E30" s="207">
        <v>14.65</v>
      </c>
      <c r="F30" s="207">
        <f>TRUNC(E30*D30,2)</f>
        <v>29.3</v>
      </c>
    </row>
    <row r="31" spans="1:6" x14ac:dyDescent="0.2">
      <c r="A31" s="195" t="s">
        <v>281</v>
      </c>
      <c r="B31" s="318" t="s">
        <v>260</v>
      </c>
      <c r="C31" s="218" t="s">
        <v>757</v>
      </c>
      <c r="D31" s="206">
        <v>1.5</v>
      </c>
      <c r="E31" s="207">
        <v>9.1199999999999992</v>
      </c>
      <c r="F31" s="207">
        <f>TRUNC(E31*D31,2)</f>
        <v>13.68</v>
      </c>
    </row>
    <row r="32" spans="1:6" x14ac:dyDescent="0.2">
      <c r="A32" s="449" t="s">
        <v>261</v>
      </c>
      <c r="B32" s="449"/>
      <c r="C32" s="449"/>
      <c r="D32" s="449"/>
      <c r="E32" s="449"/>
      <c r="F32" s="207">
        <f>SUM(F30:F31)</f>
        <v>42.980000000000004</v>
      </c>
    </row>
    <row r="33" spans="1:7" x14ac:dyDescent="0.2">
      <c r="A33" s="474"/>
      <c r="B33" s="474"/>
      <c r="C33" s="474"/>
      <c r="D33" s="474"/>
      <c r="E33" s="474"/>
      <c r="F33" s="474"/>
    </row>
    <row r="34" spans="1:7" x14ac:dyDescent="0.2">
      <c r="A34" s="317" t="s">
        <v>262</v>
      </c>
      <c r="B34" s="317" t="s">
        <v>254</v>
      </c>
      <c r="C34" s="317" t="s">
        <v>255</v>
      </c>
      <c r="D34" s="203" t="s">
        <v>256</v>
      </c>
      <c r="E34" s="204" t="s">
        <v>257</v>
      </c>
      <c r="F34" s="204" t="s">
        <v>258</v>
      </c>
    </row>
    <row r="35" spans="1:7" ht="25.5" x14ac:dyDescent="0.2">
      <c r="A35" s="329" t="s">
        <v>720</v>
      </c>
      <c r="B35" s="318" t="s">
        <v>18</v>
      </c>
      <c r="C35" s="318" t="s">
        <v>282</v>
      </c>
      <c r="D35" s="206">
        <v>1</v>
      </c>
      <c r="E35" s="207">
        <v>196.57</v>
      </c>
      <c r="F35" s="207">
        <f>TRUNC(E35*D35,2)</f>
        <v>196.57</v>
      </c>
    </row>
    <row r="36" spans="1:7" ht="25.5" x14ac:dyDescent="0.2">
      <c r="A36" s="214" t="s">
        <v>283</v>
      </c>
      <c r="B36" s="318" t="s">
        <v>284</v>
      </c>
      <c r="C36" s="218" t="s">
        <v>758</v>
      </c>
      <c r="D36" s="206">
        <v>89.08</v>
      </c>
      <c r="E36" s="207">
        <v>7.0000000000000007E-2</v>
      </c>
      <c r="F36" s="207">
        <f>TRUNC(E36*D36,2)</f>
        <v>6.23</v>
      </c>
      <c r="G36" s="194" t="s">
        <v>285</v>
      </c>
    </row>
    <row r="37" spans="1:7" x14ac:dyDescent="0.2">
      <c r="A37" s="449" t="s">
        <v>261</v>
      </c>
      <c r="B37" s="449"/>
      <c r="C37" s="449"/>
      <c r="D37" s="449"/>
      <c r="E37" s="449"/>
      <c r="F37" s="207">
        <f>SUM(F35:F36)</f>
        <v>202.79999999999998</v>
      </c>
    </row>
    <row r="38" spans="1:7" x14ac:dyDescent="0.2">
      <c r="A38" s="450"/>
      <c r="B38" s="450"/>
      <c r="C38" s="450"/>
      <c r="D38" s="450"/>
      <c r="E38" s="450"/>
      <c r="F38" s="450"/>
    </row>
    <row r="39" spans="1:7" x14ac:dyDescent="0.2">
      <c r="A39" s="451" t="s">
        <v>265</v>
      </c>
      <c r="B39" s="451"/>
      <c r="C39" s="451"/>
      <c r="D39" s="451"/>
      <c r="E39" s="451"/>
      <c r="F39" s="451"/>
    </row>
    <row r="40" spans="1:7" x14ac:dyDescent="0.2">
      <c r="A40" s="317" t="s">
        <v>266</v>
      </c>
      <c r="B40" s="317" t="s">
        <v>267</v>
      </c>
      <c r="C40" s="317" t="s">
        <v>268</v>
      </c>
      <c r="D40" s="452" t="s">
        <v>269</v>
      </c>
      <c r="E40" s="452"/>
      <c r="F40" s="452"/>
    </row>
    <row r="41" spans="1:7" x14ac:dyDescent="0.2">
      <c r="A41" s="211" t="s">
        <v>270</v>
      </c>
      <c r="B41" s="212"/>
      <c r="C41" s="298">
        <f>F32</f>
        <v>42.980000000000004</v>
      </c>
      <c r="D41" s="452"/>
      <c r="E41" s="452"/>
      <c r="F41" s="452"/>
    </row>
    <row r="42" spans="1:7" x14ac:dyDescent="0.2">
      <c r="A42" s="211" t="s">
        <v>271</v>
      </c>
      <c r="B42" s="213"/>
      <c r="C42" s="298">
        <f>F37</f>
        <v>202.79999999999998</v>
      </c>
      <c r="D42" s="452"/>
      <c r="E42" s="452"/>
      <c r="F42" s="452"/>
    </row>
    <row r="43" spans="1:7" x14ac:dyDescent="0.2">
      <c r="A43" s="211" t="s">
        <v>272</v>
      </c>
      <c r="B43" s="211"/>
      <c r="C43" s="298">
        <v>0</v>
      </c>
      <c r="D43" s="452"/>
      <c r="E43" s="452"/>
      <c r="F43" s="452"/>
    </row>
    <row r="44" spans="1:7" x14ac:dyDescent="0.2">
      <c r="A44" s="211" t="s">
        <v>273</v>
      </c>
      <c r="B44" s="211"/>
      <c r="C44" s="298">
        <v>1</v>
      </c>
      <c r="D44" s="452"/>
      <c r="E44" s="452"/>
      <c r="F44" s="452"/>
    </row>
    <row r="45" spans="1:7" x14ac:dyDescent="0.2">
      <c r="A45" s="211" t="s">
        <v>274</v>
      </c>
      <c r="B45" s="211"/>
      <c r="C45" s="298">
        <f>C41+C43</f>
        <v>42.980000000000004</v>
      </c>
      <c r="D45" s="452"/>
      <c r="E45" s="452"/>
      <c r="F45" s="452"/>
    </row>
    <row r="46" spans="1:7" x14ac:dyDescent="0.2">
      <c r="A46" s="211" t="s">
        <v>275</v>
      </c>
      <c r="B46" s="211"/>
      <c r="C46" s="298">
        <f>(C41+C43)/C44</f>
        <v>42.980000000000004</v>
      </c>
      <c r="D46" s="452"/>
      <c r="E46" s="452"/>
      <c r="F46" s="452"/>
    </row>
    <row r="47" spans="1:7" x14ac:dyDescent="0.2">
      <c r="A47" s="211" t="s">
        <v>276</v>
      </c>
      <c r="B47" s="211"/>
      <c r="C47" s="298">
        <f>C42+C46</f>
        <v>245.77999999999997</v>
      </c>
      <c r="D47" s="452"/>
      <c r="E47" s="452"/>
      <c r="F47" s="452"/>
    </row>
    <row r="48" spans="1:7" x14ac:dyDescent="0.2">
      <c r="A48" s="211" t="s">
        <v>277</v>
      </c>
      <c r="B48" s="212">
        <v>0.2631</v>
      </c>
      <c r="C48" s="298">
        <f>C47*B48</f>
        <v>64.664717999999993</v>
      </c>
      <c r="D48" s="452"/>
      <c r="E48" s="452"/>
      <c r="F48" s="452"/>
    </row>
    <row r="49" spans="1:8" x14ac:dyDescent="0.2">
      <c r="A49" s="211" t="s">
        <v>278</v>
      </c>
      <c r="B49" s="453">
        <f>C47+C48</f>
        <v>310.44471799999997</v>
      </c>
      <c r="C49" s="453"/>
      <c r="D49" s="452"/>
      <c r="E49" s="452"/>
      <c r="F49" s="452"/>
    </row>
    <row r="50" spans="1:8" x14ac:dyDescent="0.2">
      <c r="A50" s="454"/>
      <c r="B50" s="455"/>
      <c r="C50" s="455"/>
      <c r="D50" s="455"/>
      <c r="E50" s="455"/>
      <c r="F50" s="456"/>
    </row>
    <row r="51" spans="1:8" x14ac:dyDescent="0.2">
      <c r="A51" s="454"/>
      <c r="B51" s="455"/>
      <c r="C51" s="455"/>
      <c r="D51" s="455"/>
      <c r="E51" s="455"/>
      <c r="F51" s="456"/>
    </row>
    <row r="52" spans="1:8" ht="60.75" customHeight="1" x14ac:dyDescent="0.2">
      <c r="A52" s="471" t="s">
        <v>121</v>
      </c>
      <c r="B52" s="472"/>
      <c r="C52" s="472"/>
      <c r="D52" s="473"/>
      <c r="E52" s="201" t="s">
        <v>286</v>
      </c>
      <c r="F52" s="202" t="s">
        <v>32</v>
      </c>
    </row>
    <row r="53" spans="1:8" x14ac:dyDescent="0.2">
      <c r="A53" s="317" t="s">
        <v>253</v>
      </c>
      <c r="B53" s="317" t="s">
        <v>254</v>
      </c>
      <c r="C53" s="317" t="s">
        <v>255</v>
      </c>
      <c r="D53" s="203" t="s">
        <v>256</v>
      </c>
      <c r="E53" s="204" t="s">
        <v>257</v>
      </c>
      <c r="F53" s="204" t="s">
        <v>258</v>
      </c>
    </row>
    <row r="54" spans="1:8" x14ac:dyDescent="0.2">
      <c r="A54" s="195" t="s">
        <v>287</v>
      </c>
      <c r="B54" s="318" t="s">
        <v>260</v>
      </c>
      <c r="C54" s="218" t="s">
        <v>759</v>
      </c>
      <c r="D54" s="206">
        <v>1.5</v>
      </c>
      <c r="E54" s="207">
        <v>9.82</v>
      </c>
      <c r="F54" s="207">
        <f>TRUNC(E54*D54,2)</f>
        <v>14.73</v>
      </c>
    </row>
    <row r="55" spans="1:8" x14ac:dyDescent="0.2">
      <c r="A55" s="195" t="s">
        <v>288</v>
      </c>
      <c r="B55" s="318" t="s">
        <v>260</v>
      </c>
      <c r="C55" s="218" t="s">
        <v>760</v>
      </c>
      <c r="D55" s="206">
        <v>1.5</v>
      </c>
      <c r="E55" s="207">
        <v>16.239999999999998</v>
      </c>
      <c r="F55" s="207">
        <f>TRUNC(E55*D55,2)</f>
        <v>24.36</v>
      </c>
    </row>
    <row r="56" spans="1:8" x14ac:dyDescent="0.2">
      <c r="A56" s="449" t="s">
        <v>261</v>
      </c>
      <c r="B56" s="449"/>
      <c r="C56" s="449"/>
      <c r="D56" s="449"/>
      <c r="E56" s="449"/>
      <c r="F56" s="207">
        <f>SUM(F54:F55)</f>
        <v>39.090000000000003</v>
      </c>
    </row>
    <row r="57" spans="1:8" x14ac:dyDescent="0.2">
      <c r="A57" s="474"/>
      <c r="B57" s="474"/>
      <c r="C57" s="474"/>
      <c r="D57" s="474"/>
      <c r="E57" s="474"/>
      <c r="F57" s="474"/>
    </row>
    <row r="58" spans="1:8" x14ac:dyDescent="0.2">
      <c r="A58" s="317" t="s">
        <v>262</v>
      </c>
      <c r="B58" s="317" t="s">
        <v>254</v>
      </c>
      <c r="C58" s="317" t="s">
        <v>255</v>
      </c>
      <c r="D58" s="203" t="s">
        <v>256</v>
      </c>
      <c r="E58" s="204" t="s">
        <v>257</v>
      </c>
      <c r="F58" s="204" t="s">
        <v>258</v>
      </c>
      <c r="G58" s="194" t="s">
        <v>289</v>
      </c>
    </row>
    <row r="59" spans="1:8" ht="29.25" customHeight="1" x14ac:dyDescent="0.2">
      <c r="A59" s="50" t="s">
        <v>290</v>
      </c>
      <c r="B59" s="318" t="s">
        <v>32</v>
      </c>
      <c r="C59" s="205" t="s">
        <v>291</v>
      </c>
      <c r="D59" s="206">
        <v>1</v>
      </c>
      <c r="E59" s="207">
        <v>1202.33</v>
      </c>
      <c r="F59" s="210">
        <f>TRUNC(E59*D59,2)</f>
        <v>1202.33</v>
      </c>
      <c r="G59" s="194">
        <f>4*0.007</f>
        <v>2.8000000000000001E-2</v>
      </c>
      <c r="H59" s="194" t="s">
        <v>292</v>
      </c>
    </row>
    <row r="60" spans="1:8" ht="44.25" customHeight="1" x14ac:dyDescent="0.2">
      <c r="A60" s="215" t="s">
        <v>293</v>
      </c>
      <c r="B60" s="318" t="s">
        <v>32</v>
      </c>
      <c r="C60" s="205" t="s">
        <v>294</v>
      </c>
      <c r="D60" s="206">
        <v>1</v>
      </c>
      <c r="E60" s="207">
        <v>1958.33</v>
      </c>
      <c r="F60" s="210">
        <f t="shared" ref="F60:F65" si="0">TRUNC(E60*D60,2)</f>
        <v>1958.33</v>
      </c>
      <c r="G60" s="194">
        <f>4*0.007</f>
        <v>2.8000000000000001E-2</v>
      </c>
      <c r="H60" s="194" t="s">
        <v>292</v>
      </c>
    </row>
    <row r="61" spans="1:8" ht="27.75" customHeight="1" x14ac:dyDescent="0.2">
      <c r="A61" s="30" t="s">
        <v>295</v>
      </c>
      <c r="B61" s="318" t="s">
        <v>32</v>
      </c>
      <c r="C61" s="205" t="s">
        <v>296</v>
      </c>
      <c r="D61" s="206">
        <v>1</v>
      </c>
      <c r="E61" s="207">
        <v>1364</v>
      </c>
      <c r="F61" s="210">
        <f t="shared" si="0"/>
        <v>1364</v>
      </c>
      <c r="G61" s="194">
        <f>4*0.007</f>
        <v>2.8000000000000001E-2</v>
      </c>
      <c r="H61" s="194" t="s">
        <v>292</v>
      </c>
    </row>
    <row r="62" spans="1:8" ht="25.5" x14ac:dyDescent="0.2">
      <c r="A62" s="30" t="s">
        <v>297</v>
      </c>
      <c r="B62" s="318" t="s">
        <v>32</v>
      </c>
      <c r="C62" s="205" t="s">
        <v>298</v>
      </c>
      <c r="D62" s="206">
        <v>1</v>
      </c>
      <c r="E62" s="207">
        <v>974</v>
      </c>
      <c r="F62" s="210">
        <f t="shared" si="0"/>
        <v>974</v>
      </c>
      <c r="G62" s="194">
        <v>7.0000000000000001E-3</v>
      </c>
      <c r="H62" s="194" t="s">
        <v>299</v>
      </c>
    </row>
    <row r="63" spans="1:8" ht="34.5" customHeight="1" x14ac:dyDescent="0.2">
      <c r="A63" s="30" t="s">
        <v>300</v>
      </c>
      <c r="B63" s="318" t="s">
        <v>32</v>
      </c>
      <c r="C63" s="205" t="s">
        <v>301</v>
      </c>
      <c r="D63" s="206">
        <v>1</v>
      </c>
      <c r="E63" s="207">
        <v>1215.67</v>
      </c>
      <c r="F63" s="210">
        <f t="shared" si="0"/>
        <v>1215.67</v>
      </c>
      <c r="G63" s="194">
        <f>4*0.007</f>
        <v>2.8000000000000001E-2</v>
      </c>
      <c r="H63" s="194" t="s">
        <v>292</v>
      </c>
    </row>
    <row r="64" spans="1:8" ht="25.5" x14ac:dyDescent="0.2">
      <c r="A64" s="30" t="s">
        <v>56</v>
      </c>
      <c r="B64" s="318" t="s">
        <v>36</v>
      </c>
      <c r="C64" s="205" t="s">
        <v>55</v>
      </c>
      <c r="D64" s="206">
        <v>0.11899999999999999</v>
      </c>
      <c r="E64" s="207">
        <v>41.31</v>
      </c>
      <c r="F64" s="210">
        <f t="shared" si="0"/>
        <v>4.91</v>
      </c>
      <c r="G64" s="194">
        <f>SUM(G58:G63)</f>
        <v>0.11900000000000001</v>
      </c>
    </row>
    <row r="65" spans="1:8" ht="25.5" x14ac:dyDescent="0.2">
      <c r="A65" s="30" t="s">
        <v>302</v>
      </c>
      <c r="B65" s="318" t="s">
        <v>36</v>
      </c>
      <c r="C65" s="205" t="s">
        <v>303</v>
      </c>
      <c r="D65" s="206">
        <v>0.11899999999999999</v>
      </c>
      <c r="E65" s="207">
        <v>435.13</v>
      </c>
      <c r="F65" s="210">
        <f t="shared" si="0"/>
        <v>51.78</v>
      </c>
      <c r="G65" s="194">
        <f>SUM(G59:G63)</f>
        <v>0.11900000000000001</v>
      </c>
    </row>
    <row r="66" spans="1:8" x14ac:dyDescent="0.2">
      <c r="A66" s="449" t="s">
        <v>261</v>
      </c>
      <c r="B66" s="449"/>
      <c r="C66" s="449"/>
      <c r="D66" s="449"/>
      <c r="E66" s="449"/>
      <c r="F66" s="207">
        <f>SUM(F59:F65)</f>
        <v>6771.0199999999995</v>
      </c>
    </row>
    <row r="67" spans="1:8" x14ac:dyDescent="0.2">
      <c r="A67" s="450"/>
      <c r="B67" s="450"/>
      <c r="C67" s="450"/>
      <c r="D67" s="450"/>
      <c r="E67" s="450"/>
      <c r="F67" s="450"/>
    </row>
    <row r="68" spans="1:8" x14ac:dyDescent="0.2">
      <c r="A68" s="451" t="s">
        <v>265</v>
      </c>
      <c r="B68" s="451"/>
      <c r="C68" s="451"/>
      <c r="D68" s="451"/>
      <c r="E68" s="451"/>
      <c r="F68" s="451"/>
    </row>
    <row r="69" spans="1:8" x14ac:dyDescent="0.2">
      <c r="A69" s="317" t="s">
        <v>266</v>
      </c>
      <c r="B69" s="317" t="s">
        <v>267</v>
      </c>
      <c r="C69" s="317" t="s">
        <v>268</v>
      </c>
      <c r="D69" s="452" t="s">
        <v>304</v>
      </c>
      <c r="E69" s="452"/>
      <c r="F69" s="452"/>
    </row>
    <row r="70" spans="1:8" x14ac:dyDescent="0.2">
      <c r="A70" s="211" t="s">
        <v>270</v>
      </c>
      <c r="B70" s="212"/>
      <c r="C70" s="298">
        <f>F56</f>
        <v>39.090000000000003</v>
      </c>
      <c r="D70" s="452"/>
      <c r="E70" s="452"/>
      <c r="F70" s="452"/>
    </row>
    <row r="71" spans="1:8" x14ac:dyDescent="0.2">
      <c r="A71" s="211" t="s">
        <v>271</v>
      </c>
      <c r="B71" s="213"/>
      <c r="C71" s="298">
        <f>F66</f>
        <v>6771.0199999999995</v>
      </c>
      <c r="D71" s="452"/>
      <c r="E71" s="452"/>
      <c r="F71" s="452"/>
    </row>
    <row r="72" spans="1:8" x14ac:dyDescent="0.2">
      <c r="A72" s="211" t="s">
        <v>272</v>
      </c>
      <c r="B72" s="211"/>
      <c r="C72" s="298">
        <v>0</v>
      </c>
      <c r="D72" s="452"/>
      <c r="E72" s="452"/>
      <c r="F72" s="452"/>
    </row>
    <row r="73" spans="1:8" x14ac:dyDescent="0.2">
      <c r="A73" s="211" t="s">
        <v>273</v>
      </c>
      <c r="B73" s="211"/>
      <c r="C73" s="298">
        <v>1</v>
      </c>
      <c r="D73" s="452"/>
      <c r="E73" s="452"/>
      <c r="F73" s="452"/>
    </row>
    <row r="74" spans="1:8" x14ac:dyDescent="0.2">
      <c r="A74" s="211" t="s">
        <v>274</v>
      </c>
      <c r="B74" s="211"/>
      <c r="C74" s="298">
        <f>C70+C72</f>
        <v>39.090000000000003</v>
      </c>
      <c r="D74" s="452"/>
      <c r="E74" s="452"/>
      <c r="F74" s="452"/>
      <c r="H74" s="194" t="s">
        <v>305</v>
      </c>
    </row>
    <row r="75" spans="1:8" x14ac:dyDescent="0.2">
      <c r="A75" s="211" t="s">
        <v>275</v>
      </c>
      <c r="B75" s="211"/>
      <c r="C75" s="298">
        <f>(C70+C72)/C73</f>
        <v>39.090000000000003</v>
      </c>
      <c r="D75" s="452"/>
      <c r="E75" s="452"/>
      <c r="F75" s="452"/>
    </row>
    <row r="76" spans="1:8" x14ac:dyDescent="0.2">
      <c r="A76" s="211" t="s">
        <v>276</v>
      </c>
      <c r="B76" s="211"/>
      <c r="C76" s="298">
        <f>C71+C75</f>
        <v>6810.11</v>
      </c>
      <c r="D76" s="452"/>
      <c r="E76" s="452"/>
      <c r="F76" s="452"/>
    </row>
    <row r="77" spans="1:8" x14ac:dyDescent="0.2">
      <c r="A77" s="211" t="s">
        <v>277</v>
      </c>
      <c r="B77" s="212">
        <v>0.2631</v>
      </c>
      <c r="C77" s="298">
        <f>C76*B77</f>
        <v>1791.7399409999998</v>
      </c>
      <c r="D77" s="452"/>
      <c r="E77" s="452"/>
      <c r="F77" s="452"/>
    </row>
    <row r="78" spans="1:8" x14ac:dyDescent="0.2">
      <c r="A78" s="211" t="s">
        <v>278</v>
      </c>
      <c r="B78" s="453">
        <f>C76+C77</f>
        <v>8601.8499410000004</v>
      </c>
      <c r="C78" s="453"/>
      <c r="D78" s="452"/>
      <c r="E78" s="452"/>
      <c r="F78" s="452"/>
    </row>
    <row r="79" spans="1:8" x14ac:dyDescent="0.2">
      <c r="A79" s="454"/>
      <c r="B79" s="455"/>
      <c r="C79" s="455"/>
      <c r="D79" s="455"/>
      <c r="E79" s="455"/>
      <c r="F79" s="456"/>
    </row>
    <row r="80" spans="1:8" ht="28.5" customHeight="1" x14ac:dyDescent="0.2">
      <c r="A80" s="471" t="s">
        <v>306</v>
      </c>
      <c r="B80" s="472"/>
      <c r="C80" s="472"/>
      <c r="D80" s="473"/>
      <c r="E80" s="201" t="s">
        <v>307</v>
      </c>
      <c r="F80" s="202" t="s">
        <v>32</v>
      </c>
    </row>
    <row r="81" spans="1:6" x14ac:dyDescent="0.2">
      <c r="A81" s="317" t="s">
        <v>253</v>
      </c>
      <c r="B81" s="317" t="s">
        <v>254</v>
      </c>
      <c r="C81" s="317" t="s">
        <v>255</v>
      </c>
      <c r="D81" s="203" t="s">
        <v>256</v>
      </c>
      <c r="E81" s="204" t="s">
        <v>257</v>
      </c>
      <c r="F81" s="204" t="s">
        <v>258</v>
      </c>
    </row>
    <row r="82" spans="1:6" x14ac:dyDescent="0.2">
      <c r="A82" s="195" t="s">
        <v>308</v>
      </c>
      <c r="B82" s="318" t="s">
        <v>260</v>
      </c>
      <c r="C82" s="218" t="s">
        <v>756</v>
      </c>
      <c r="D82" s="206">
        <v>0.5</v>
      </c>
      <c r="E82" s="207">
        <v>14.65</v>
      </c>
      <c r="F82" s="207">
        <f>TRUNC(E82*D82,2)</f>
        <v>7.32</v>
      </c>
    </row>
    <row r="83" spans="1:6" x14ac:dyDescent="0.2">
      <c r="A83" s="195" t="s">
        <v>309</v>
      </c>
      <c r="B83" s="318" t="s">
        <v>260</v>
      </c>
      <c r="C83" s="218" t="s">
        <v>757</v>
      </c>
      <c r="D83" s="206">
        <v>0.2</v>
      </c>
      <c r="E83" s="207">
        <v>9.1199999999999992</v>
      </c>
      <c r="F83" s="207">
        <f>TRUNC(E83*D83,2)</f>
        <v>1.82</v>
      </c>
    </row>
    <row r="84" spans="1:6" x14ac:dyDescent="0.2">
      <c r="A84" s="475" t="s">
        <v>261</v>
      </c>
      <c r="B84" s="476"/>
      <c r="C84" s="476"/>
      <c r="D84" s="476"/>
      <c r="E84" s="476"/>
      <c r="F84" s="207">
        <f>SUM(F82:F83)</f>
        <v>9.14</v>
      </c>
    </row>
    <row r="85" spans="1:6" x14ac:dyDescent="0.2">
      <c r="A85" s="477"/>
      <c r="B85" s="478"/>
      <c r="C85" s="478"/>
      <c r="D85" s="478"/>
      <c r="E85" s="478"/>
      <c r="F85" s="479"/>
    </row>
    <row r="86" spans="1:6" x14ac:dyDescent="0.2">
      <c r="A86" s="317" t="s">
        <v>262</v>
      </c>
      <c r="B86" s="317" t="s">
        <v>254</v>
      </c>
      <c r="C86" s="317" t="s">
        <v>255</v>
      </c>
      <c r="D86" s="203" t="s">
        <v>256</v>
      </c>
      <c r="E86" s="204" t="s">
        <v>257</v>
      </c>
      <c r="F86" s="204" t="s">
        <v>258</v>
      </c>
    </row>
    <row r="87" spans="1:6" ht="51" x14ac:dyDescent="0.2">
      <c r="A87" s="208" t="s">
        <v>310</v>
      </c>
      <c r="B87" s="318" t="s">
        <v>32</v>
      </c>
      <c r="C87" s="217" t="s">
        <v>768</v>
      </c>
      <c r="D87" s="206">
        <v>1</v>
      </c>
      <c r="E87" s="207">
        <v>702.04</v>
      </c>
      <c r="F87" s="207">
        <f>TRUNC(E87*D87,2)</f>
        <v>702.04</v>
      </c>
    </row>
    <row r="88" spans="1:6" x14ac:dyDescent="0.2">
      <c r="A88" s="475" t="s">
        <v>261</v>
      </c>
      <c r="B88" s="476"/>
      <c r="C88" s="476"/>
      <c r="D88" s="476"/>
      <c r="E88" s="476"/>
      <c r="F88" s="207">
        <f>SUM(F87:F87)</f>
        <v>702.04</v>
      </c>
    </row>
    <row r="89" spans="1:6" x14ac:dyDescent="0.2">
      <c r="A89" s="454"/>
      <c r="B89" s="455"/>
      <c r="C89" s="455"/>
      <c r="D89" s="455"/>
      <c r="E89" s="455"/>
      <c r="F89" s="456"/>
    </row>
    <row r="90" spans="1:6" x14ac:dyDescent="0.2">
      <c r="A90" s="457" t="s">
        <v>265</v>
      </c>
      <c r="B90" s="458"/>
      <c r="C90" s="458"/>
      <c r="D90" s="458"/>
      <c r="E90" s="458"/>
      <c r="F90" s="459"/>
    </row>
    <row r="91" spans="1:6" ht="15" customHeight="1" x14ac:dyDescent="0.2">
      <c r="A91" s="317" t="s">
        <v>266</v>
      </c>
      <c r="B91" s="317" t="s">
        <v>267</v>
      </c>
      <c r="C91" s="317" t="s">
        <v>268</v>
      </c>
      <c r="D91" s="460" t="s">
        <v>311</v>
      </c>
      <c r="E91" s="461"/>
      <c r="F91" s="462"/>
    </row>
    <row r="92" spans="1:6" x14ac:dyDescent="0.2">
      <c r="A92" s="211" t="s">
        <v>270</v>
      </c>
      <c r="B92" s="212"/>
      <c r="C92" s="298">
        <f>F84</f>
        <v>9.14</v>
      </c>
      <c r="D92" s="463"/>
      <c r="E92" s="464"/>
      <c r="F92" s="465"/>
    </row>
    <row r="93" spans="1:6" x14ac:dyDescent="0.2">
      <c r="A93" s="211" t="s">
        <v>271</v>
      </c>
      <c r="B93" s="213"/>
      <c r="C93" s="298">
        <f>F88</f>
        <v>702.04</v>
      </c>
      <c r="D93" s="463"/>
      <c r="E93" s="464"/>
      <c r="F93" s="465"/>
    </row>
    <row r="94" spans="1:6" x14ac:dyDescent="0.2">
      <c r="A94" s="211" t="s">
        <v>272</v>
      </c>
      <c r="B94" s="211"/>
      <c r="C94" s="298">
        <v>0</v>
      </c>
      <c r="D94" s="463"/>
      <c r="E94" s="464"/>
      <c r="F94" s="465"/>
    </row>
    <row r="95" spans="1:6" x14ac:dyDescent="0.2">
      <c r="A95" s="211" t="s">
        <v>273</v>
      </c>
      <c r="B95" s="211"/>
      <c r="C95" s="298">
        <v>1</v>
      </c>
      <c r="D95" s="463"/>
      <c r="E95" s="464"/>
      <c r="F95" s="465"/>
    </row>
    <row r="96" spans="1:6" x14ac:dyDescent="0.2">
      <c r="A96" s="211" t="s">
        <v>274</v>
      </c>
      <c r="B96" s="211"/>
      <c r="C96" s="298">
        <f>C92+C94</f>
        <v>9.14</v>
      </c>
      <c r="D96" s="463"/>
      <c r="E96" s="464"/>
      <c r="F96" s="465"/>
    </row>
    <row r="97" spans="1:6" x14ac:dyDescent="0.2">
      <c r="A97" s="211" t="s">
        <v>275</v>
      </c>
      <c r="B97" s="211"/>
      <c r="C97" s="298">
        <f>(C92+C94)/C95</f>
        <v>9.14</v>
      </c>
      <c r="D97" s="463"/>
      <c r="E97" s="464"/>
      <c r="F97" s="465"/>
    </row>
    <row r="98" spans="1:6" x14ac:dyDescent="0.2">
      <c r="A98" s="211" t="s">
        <v>276</v>
      </c>
      <c r="B98" s="211"/>
      <c r="C98" s="298">
        <f>C93+C97</f>
        <v>711.18</v>
      </c>
      <c r="D98" s="463"/>
      <c r="E98" s="464"/>
      <c r="F98" s="465"/>
    </row>
    <row r="99" spans="1:6" x14ac:dyDescent="0.2">
      <c r="A99" s="211" t="s">
        <v>277</v>
      </c>
      <c r="B99" s="212">
        <v>0.2631</v>
      </c>
      <c r="C99" s="298">
        <f>C98*B99</f>
        <v>187.111458</v>
      </c>
      <c r="D99" s="463"/>
      <c r="E99" s="464"/>
      <c r="F99" s="465"/>
    </row>
    <row r="100" spans="1:6" x14ac:dyDescent="0.2">
      <c r="A100" s="211" t="s">
        <v>278</v>
      </c>
      <c r="B100" s="469">
        <f>C98+C99</f>
        <v>898.29145799999992</v>
      </c>
      <c r="C100" s="470"/>
      <c r="D100" s="466"/>
      <c r="E100" s="467"/>
      <c r="F100" s="468"/>
    </row>
    <row r="101" spans="1:6" x14ac:dyDescent="0.2">
      <c r="A101" s="454"/>
      <c r="B101" s="455"/>
      <c r="C101" s="455"/>
      <c r="D101" s="455"/>
      <c r="E101" s="455"/>
      <c r="F101" s="456"/>
    </row>
    <row r="102" spans="1:6" x14ac:dyDescent="0.2">
      <c r="A102" s="471" t="s">
        <v>152</v>
      </c>
      <c r="B102" s="472"/>
      <c r="C102" s="472"/>
      <c r="D102" s="473"/>
      <c r="E102" s="201" t="s">
        <v>313</v>
      </c>
      <c r="F102" s="202" t="s">
        <v>36</v>
      </c>
    </row>
    <row r="103" spans="1:6" x14ac:dyDescent="0.2">
      <c r="A103" s="317" t="s">
        <v>253</v>
      </c>
      <c r="B103" s="317" t="s">
        <v>254</v>
      </c>
      <c r="C103" s="317" t="s">
        <v>255</v>
      </c>
      <c r="D103" s="203" t="s">
        <v>256</v>
      </c>
      <c r="E103" s="204" t="s">
        <v>257</v>
      </c>
      <c r="F103" s="204" t="s">
        <v>258</v>
      </c>
    </row>
    <row r="104" spans="1:6" x14ac:dyDescent="0.2">
      <c r="A104" s="195" t="s">
        <v>314</v>
      </c>
      <c r="B104" s="318" t="s">
        <v>260</v>
      </c>
      <c r="C104" s="205" t="s">
        <v>315</v>
      </c>
      <c r="D104" s="206">
        <v>1.2</v>
      </c>
      <c r="E104" s="207">
        <v>14.27</v>
      </c>
      <c r="F104" s="207">
        <f>TRUNC(D104*E104,2)</f>
        <v>17.12</v>
      </c>
    </row>
    <row r="105" spans="1:6" x14ac:dyDescent="0.2">
      <c r="A105" s="475" t="s">
        <v>261</v>
      </c>
      <c r="B105" s="476"/>
      <c r="C105" s="476"/>
      <c r="D105" s="476"/>
      <c r="E105" s="476"/>
      <c r="F105" s="207">
        <f>SUM(F104:F104)</f>
        <v>17.12</v>
      </c>
    </row>
    <row r="106" spans="1:6" x14ac:dyDescent="0.2">
      <c r="A106" s="477"/>
      <c r="B106" s="478"/>
      <c r="C106" s="478"/>
      <c r="D106" s="478"/>
      <c r="E106" s="478"/>
      <c r="F106" s="479"/>
    </row>
    <row r="107" spans="1:6" x14ac:dyDescent="0.2">
      <c r="A107" s="317" t="s">
        <v>262</v>
      </c>
      <c r="B107" s="317" t="s">
        <v>254</v>
      </c>
      <c r="C107" s="317" t="s">
        <v>255</v>
      </c>
      <c r="D107" s="203" t="s">
        <v>256</v>
      </c>
      <c r="E107" s="204" t="s">
        <v>257</v>
      </c>
      <c r="F107" s="204" t="s">
        <v>258</v>
      </c>
    </row>
    <row r="108" spans="1:6" ht="25.5" x14ac:dyDescent="0.2">
      <c r="A108" s="216" t="s">
        <v>321</v>
      </c>
      <c r="B108" s="318" t="s">
        <v>36</v>
      </c>
      <c r="C108" s="217" t="s">
        <v>766</v>
      </c>
      <c r="D108" s="206">
        <v>1</v>
      </c>
      <c r="E108" s="207">
        <v>46.67</v>
      </c>
      <c r="F108" s="207">
        <f>TRUNC(E108*D108,2)</f>
        <v>46.67</v>
      </c>
    </row>
    <row r="109" spans="1:6" x14ac:dyDescent="0.2">
      <c r="A109" s="475" t="s">
        <v>261</v>
      </c>
      <c r="B109" s="476"/>
      <c r="C109" s="476"/>
      <c r="D109" s="476"/>
      <c r="E109" s="476"/>
      <c r="F109" s="207">
        <f>SUM(F108:F108)</f>
        <v>46.67</v>
      </c>
    </row>
    <row r="110" spans="1:6" x14ac:dyDescent="0.2">
      <c r="A110" s="454"/>
      <c r="B110" s="455"/>
      <c r="C110" s="455"/>
      <c r="D110" s="455"/>
      <c r="E110" s="455"/>
      <c r="F110" s="456"/>
    </row>
    <row r="111" spans="1:6" x14ac:dyDescent="0.2">
      <c r="A111" s="457" t="s">
        <v>265</v>
      </c>
      <c r="B111" s="458"/>
      <c r="C111" s="458"/>
      <c r="D111" s="458"/>
      <c r="E111" s="458"/>
      <c r="F111" s="459"/>
    </row>
    <row r="112" spans="1:6" x14ac:dyDescent="0.2">
      <c r="A112" s="317" t="s">
        <v>266</v>
      </c>
      <c r="B112" s="317" t="s">
        <v>267</v>
      </c>
      <c r="C112" s="317" t="s">
        <v>268</v>
      </c>
      <c r="D112" s="460" t="s">
        <v>319</v>
      </c>
      <c r="E112" s="461"/>
      <c r="F112" s="462"/>
    </row>
    <row r="113" spans="1:6" x14ac:dyDescent="0.2">
      <c r="A113" s="211" t="s">
        <v>270</v>
      </c>
      <c r="B113" s="212"/>
      <c r="C113" s="298">
        <f>F105</f>
        <v>17.12</v>
      </c>
      <c r="D113" s="463"/>
      <c r="E113" s="464"/>
      <c r="F113" s="465"/>
    </row>
    <row r="114" spans="1:6" x14ac:dyDescent="0.2">
      <c r="A114" s="211" t="s">
        <v>271</v>
      </c>
      <c r="B114" s="213"/>
      <c r="C114" s="298">
        <f>F109</f>
        <v>46.67</v>
      </c>
      <c r="D114" s="463"/>
      <c r="E114" s="464"/>
      <c r="F114" s="465"/>
    </row>
    <row r="115" spans="1:6" x14ac:dyDescent="0.2">
      <c r="A115" s="211" t="s">
        <v>272</v>
      </c>
      <c r="B115" s="211"/>
      <c r="C115" s="298">
        <v>0</v>
      </c>
      <c r="D115" s="463"/>
      <c r="E115" s="464"/>
      <c r="F115" s="465"/>
    </row>
    <row r="116" spans="1:6" x14ac:dyDescent="0.2">
      <c r="A116" s="211" t="s">
        <v>273</v>
      </c>
      <c r="B116" s="211"/>
      <c r="C116" s="298">
        <v>1</v>
      </c>
      <c r="D116" s="463"/>
      <c r="E116" s="464"/>
      <c r="F116" s="465"/>
    </row>
    <row r="117" spans="1:6" x14ac:dyDescent="0.2">
      <c r="A117" s="211" t="s">
        <v>274</v>
      </c>
      <c r="B117" s="211"/>
      <c r="C117" s="298">
        <f>C113+C115</f>
        <v>17.12</v>
      </c>
      <c r="D117" s="463"/>
      <c r="E117" s="464"/>
      <c r="F117" s="465"/>
    </row>
    <row r="118" spans="1:6" x14ac:dyDescent="0.2">
      <c r="A118" s="211" t="s">
        <v>275</v>
      </c>
      <c r="B118" s="211"/>
      <c r="C118" s="298">
        <f>(C113+C115)/C116</f>
        <v>17.12</v>
      </c>
      <c r="D118" s="463"/>
      <c r="E118" s="464"/>
      <c r="F118" s="465"/>
    </row>
    <row r="119" spans="1:6" x14ac:dyDescent="0.2">
      <c r="A119" s="211" t="s">
        <v>276</v>
      </c>
      <c r="B119" s="211"/>
      <c r="C119" s="298">
        <f>C114+C118</f>
        <v>63.790000000000006</v>
      </c>
      <c r="D119" s="463"/>
      <c r="E119" s="464"/>
      <c r="F119" s="465"/>
    </row>
    <row r="120" spans="1:6" x14ac:dyDescent="0.2">
      <c r="A120" s="211" t="s">
        <v>277</v>
      </c>
      <c r="B120" s="212">
        <v>0.2631</v>
      </c>
      <c r="C120" s="298">
        <f>C119*B120</f>
        <v>16.783149000000002</v>
      </c>
      <c r="D120" s="463"/>
      <c r="E120" s="464"/>
      <c r="F120" s="465"/>
    </row>
    <row r="121" spans="1:6" x14ac:dyDescent="0.2">
      <c r="A121" s="211" t="s">
        <v>278</v>
      </c>
      <c r="B121" s="469">
        <f>C119+C120</f>
        <v>80.573149000000001</v>
      </c>
      <c r="C121" s="470"/>
      <c r="D121" s="466"/>
      <c r="E121" s="467"/>
      <c r="F121" s="468"/>
    </row>
    <row r="122" spans="1:6" x14ac:dyDescent="0.2">
      <c r="A122" s="454"/>
      <c r="B122" s="455"/>
      <c r="C122" s="455"/>
      <c r="D122" s="455"/>
      <c r="E122" s="455"/>
      <c r="F122" s="456"/>
    </row>
    <row r="123" spans="1:6" x14ac:dyDescent="0.2">
      <c r="A123" s="471" t="s">
        <v>749</v>
      </c>
      <c r="B123" s="472"/>
      <c r="C123" s="472"/>
      <c r="D123" s="473"/>
      <c r="E123" s="201" t="s">
        <v>320</v>
      </c>
      <c r="F123" s="202" t="s">
        <v>32</v>
      </c>
    </row>
    <row r="124" spans="1:6" x14ac:dyDescent="0.2">
      <c r="A124" s="317" t="s">
        <v>253</v>
      </c>
      <c r="B124" s="317" t="s">
        <v>254</v>
      </c>
      <c r="C124" s="317" t="s">
        <v>255</v>
      </c>
      <c r="D124" s="203" t="s">
        <v>256</v>
      </c>
      <c r="E124" s="204" t="s">
        <v>257</v>
      </c>
      <c r="F124" s="204" t="s">
        <v>258</v>
      </c>
    </row>
    <row r="125" spans="1:6" x14ac:dyDescent="0.2">
      <c r="A125" s="475" t="s">
        <v>261</v>
      </c>
      <c r="B125" s="476"/>
      <c r="C125" s="476"/>
      <c r="D125" s="476"/>
      <c r="E125" s="476"/>
      <c r="F125" s="207">
        <v>0</v>
      </c>
    </row>
    <row r="126" spans="1:6" x14ac:dyDescent="0.2">
      <c r="A126" s="477"/>
      <c r="B126" s="478"/>
      <c r="C126" s="478"/>
      <c r="D126" s="478"/>
      <c r="E126" s="478"/>
      <c r="F126" s="479"/>
    </row>
    <row r="127" spans="1:6" x14ac:dyDescent="0.2">
      <c r="A127" s="317" t="s">
        <v>262</v>
      </c>
      <c r="B127" s="317" t="s">
        <v>254</v>
      </c>
      <c r="C127" s="317" t="s">
        <v>255</v>
      </c>
      <c r="D127" s="203" t="s">
        <v>256</v>
      </c>
      <c r="E127" s="204" t="s">
        <v>257</v>
      </c>
      <c r="F127" s="204" t="s">
        <v>258</v>
      </c>
    </row>
    <row r="128" spans="1:6" ht="25.5" x14ac:dyDescent="0.2">
      <c r="A128" s="216" t="s">
        <v>56</v>
      </c>
      <c r="B128" s="318" t="s">
        <v>36</v>
      </c>
      <c r="C128" s="217">
        <v>30101</v>
      </c>
      <c r="D128" s="206">
        <v>0.04</v>
      </c>
      <c r="E128" s="207">
        <v>41.31</v>
      </c>
      <c r="F128" s="207">
        <f>TRUNC(D128*E128,2)</f>
        <v>1.65</v>
      </c>
    </row>
    <row r="129" spans="1:6" ht="25.5" x14ac:dyDescent="0.2">
      <c r="A129" s="216" t="s">
        <v>302</v>
      </c>
      <c r="B129" s="318" t="s">
        <v>36</v>
      </c>
      <c r="C129" s="217" t="s">
        <v>303</v>
      </c>
      <c r="D129" s="206">
        <v>0.04</v>
      </c>
      <c r="E129" s="207">
        <v>435.13</v>
      </c>
      <c r="F129" s="207">
        <f>TRUNC(D129*E129,2)</f>
        <v>17.399999999999999</v>
      </c>
    </row>
    <row r="130" spans="1:6" x14ac:dyDescent="0.2">
      <c r="A130" s="475" t="s">
        <v>261</v>
      </c>
      <c r="B130" s="476"/>
      <c r="C130" s="476"/>
      <c r="D130" s="476"/>
      <c r="E130" s="476"/>
      <c r="F130" s="207">
        <f>SUM(F128:F129)</f>
        <v>19.049999999999997</v>
      </c>
    </row>
    <row r="131" spans="1:6" x14ac:dyDescent="0.2">
      <c r="A131" s="454"/>
      <c r="B131" s="455"/>
      <c r="C131" s="455"/>
      <c r="D131" s="455"/>
      <c r="E131" s="455"/>
      <c r="F131" s="456"/>
    </row>
    <row r="132" spans="1:6" x14ac:dyDescent="0.2">
      <c r="A132" s="457" t="s">
        <v>265</v>
      </c>
      <c r="B132" s="458"/>
      <c r="C132" s="458"/>
      <c r="D132" s="458"/>
      <c r="E132" s="458"/>
      <c r="F132" s="459"/>
    </row>
    <row r="133" spans="1:6" x14ac:dyDescent="0.2">
      <c r="A133" s="317" t="s">
        <v>266</v>
      </c>
      <c r="B133" s="317" t="s">
        <v>267</v>
      </c>
      <c r="C133" s="317" t="s">
        <v>268</v>
      </c>
      <c r="D133" s="460" t="s">
        <v>326</v>
      </c>
      <c r="E133" s="461"/>
      <c r="F133" s="462"/>
    </row>
    <row r="134" spans="1:6" x14ac:dyDescent="0.2">
      <c r="A134" s="211" t="s">
        <v>270</v>
      </c>
      <c r="B134" s="305"/>
      <c r="C134" s="298">
        <f>F125</f>
        <v>0</v>
      </c>
      <c r="D134" s="463"/>
      <c r="E134" s="464"/>
      <c r="F134" s="465"/>
    </row>
    <row r="135" spans="1:6" x14ac:dyDescent="0.2">
      <c r="A135" s="211" t="s">
        <v>271</v>
      </c>
      <c r="B135" s="304"/>
      <c r="C135" s="298">
        <f>F130</f>
        <v>19.049999999999997</v>
      </c>
      <c r="D135" s="463"/>
      <c r="E135" s="464"/>
      <c r="F135" s="465"/>
    </row>
    <row r="136" spans="1:6" x14ac:dyDescent="0.2">
      <c r="A136" s="211" t="s">
        <v>272</v>
      </c>
      <c r="B136" s="195"/>
      <c r="C136" s="298">
        <v>0</v>
      </c>
      <c r="D136" s="463"/>
      <c r="E136" s="464"/>
      <c r="F136" s="465"/>
    </row>
    <row r="137" spans="1:6" x14ac:dyDescent="0.2">
      <c r="A137" s="211" t="s">
        <v>273</v>
      </c>
      <c r="B137" s="195"/>
      <c r="C137" s="298">
        <v>1</v>
      </c>
      <c r="D137" s="463"/>
      <c r="E137" s="464"/>
      <c r="F137" s="465"/>
    </row>
    <row r="138" spans="1:6" x14ac:dyDescent="0.2">
      <c r="A138" s="211" t="s">
        <v>274</v>
      </c>
      <c r="B138" s="195"/>
      <c r="C138" s="298">
        <f>C134+C136</f>
        <v>0</v>
      </c>
      <c r="D138" s="463"/>
      <c r="E138" s="464"/>
      <c r="F138" s="465"/>
    </row>
    <row r="139" spans="1:6" x14ac:dyDescent="0.2">
      <c r="A139" s="211" t="s">
        <v>275</v>
      </c>
      <c r="B139" s="195"/>
      <c r="C139" s="298">
        <f>(C134+C136)/C137</f>
        <v>0</v>
      </c>
      <c r="D139" s="463"/>
      <c r="E139" s="464"/>
      <c r="F139" s="465"/>
    </row>
    <row r="140" spans="1:6" x14ac:dyDescent="0.2">
      <c r="A140" s="211" t="s">
        <v>276</v>
      </c>
      <c r="B140" s="195"/>
      <c r="C140" s="298">
        <f>C135+C139</f>
        <v>19.049999999999997</v>
      </c>
      <c r="D140" s="463"/>
      <c r="E140" s="464"/>
      <c r="F140" s="465"/>
    </row>
    <row r="141" spans="1:6" x14ac:dyDescent="0.2">
      <c r="A141" s="211" t="s">
        <v>277</v>
      </c>
      <c r="B141" s="305">
        <v>0.2631</v>
      </c>
      <c r="C141" s="298">
        <f>C140*B141</f>
        <v>5.0120549999999993</v>
      </c>
      <c r="D141" s="463"/>
      <c r="E141" s="464"/>
      <c r="F141" s="465"/>
    </row>
    <row r="142" spans="1:6" x14ac:dyDescent="0.2">
      <c r="A142" s="211" t="s">
        <v>278</v>
      </c>
      <c r="B142" s="469">
        <f>C140+C141</f>
        <v>24.062054999999997</v>
      </c>
      <c r="C142" s="470"/>
      <c r="D142" s="466"/>
      <c r="E142" s="467"/>
      <c r="F142" s="468"/>
    </row>
    <row r="143" spans="1:6" x14ac:dyDescent="0.2">
      <c r="A143" s="477"/>
      <c r="B143" s="478"/>
      <c r="C143" s="478"/>
      <c r="D143" s="478"/>
      <c r="E143" s="478"/>
      <c r="F143" s="479"/>
    </row>
    <row r="144" spans="1:6" x14ac:dyDescent="0.2">
      <c r="A144" s="471" t="s">
        <v>155</v>
      </c>
      <c r="B144" s="472"/>
      <c r="C144" s="472"/>
      <c r="D144" s="473"/>
      <c r="E144" s="201" t="s">
        <v>322</v>
      </c>
      <c r="F144" s="202" t="s">
        <v>36</v>
      </c>
    </row>
    <row r="145" spans="1:6" x14ac:dyDescent="0.2">
      <c r="A145" s="317" t="s">
        <v>253</v>
      </c>
      <c r="B145" s="317" t="s">
        <v>254</v>
      </c>
      <c r="C145" s="317" t="s">
        <v>255</v>
      </c>
      <c r="D145" s="203" t="s">
        <v>256</v>
      </c>
      <c r="E145" s="204" t="s">
        <v>257</v>
      </c>
      <c r="F145" s="204" t="s">
        <v>258</v>
      </c>
    </row>
    <row r="146" spans="1:6" x14ac:dyDescent="0.2">
      <c r="A146" s="195" t="s">
        <v>314</v>
      </c>
      <c r="B146" s="318" t="s">
        <v>260</v>
      </c>
      <c r="C146" s="205" t="s">
        <v>315</v>
      </c>
      <c r="D146" s="206">
        <v>1.2</v>
      </c>
      <c r="E146" s="207">
        <v>14.27</v>
      </c>
      <c r="F146" s="207">
        <f>D146*E146</f>
        <v>17.123999999999999</v>
      </c>
    </row>
    <row r="147" spans="1:6" x14ac:dyDescent="0.2">
      <c r="A147" s="475" t="s">
        <v>261</v>
      </c>
      <c r="B147" s="476"/>
      <c r="C147" s="476"/>
      <c r="D147" s="476"/>
      <c r="E147" s="476"/>
      <c r="F147" s="207">
        <f>SUM(F146:F146)</f>
        <v>17.123999999999999</v>
      </c>
    </row>
    <row r="148" spans="1:6" x14ac:dyDescent="0.2">
      <c r="A148" s="477"/>
      <c r="B148" s="478"/>
      <c r="C148" s="478"/>
      <c r="D148" s="478"/>
      <c r="E148" s="478"/>
      <c r="F148" s="479"/>
    </row>
    <row r="149" spans="1:6" x14ac:dyDescent="0.2">
      <c r="A149" s="317" t="s">
        <v>262</v>
      </c>
      <c r="B149" s="317" t="s">
        <v>254</v>
      </c>
      <c r="C149" s="317" t="s">
        <v>255</v>
      </c>
      <c r="D149" s="203" t="s">
        <v>256</v>
      </c>
      <c r="E149" s="204" t="s">
        <v>257</v>
      </c>
      <c r="F149" s="204" t="s">
        <v>258</v>
      </c>
    </row>
    <row r="150" spans="1:6" ht="25.5" x14ac:dyDescent="0.2">
      <c r="A150" s="216" t="s">
        <v>328</v>
      </c>
      <c r="B150" s="318" t="s">
        <v>36</v>
      </c>
      <c r="C150" s="217" t="s">
        <v>765</v>
      </c>
      <c r="D150" s="206">
        <v>1</v>
      </c>
      <c r="E150" s="207">
        <v>55</v>
      </c>
      <c r="F150" s="207">
        <f>TRUNC(E150*D150,2)</f>
        <v>55</v>
      </c>
    </row>
    <row r="151" spans="1:6" x14ac:dyDescent="0.2">
      <c r="A151" s="475" t="s">
        <v>261</v>
      </c>
      <c r="B151" s="476"/>
      <c r="C151" s="476"/>
      <c r="D151" s="476"/>
      <c r="E151" s="476"/>
      <c r="F151" s="207">
        <f>SUM(F150:F150)</f>
        <v>55</v>
      </c>
    </row>
    <row r="152" spans="1:6" x14ac:dyDescent="0.2">
      <c r="A152" s="454"/>
      <c r="B152" s="455"/>
      <c r="C152" s="455"/>
      <c r="D152" s="455"/>
      <c r="E152" s="455"/>
      <c r="F152" s="456"/>
    </row>
    <row r="153" spans="1:6" x14ac:dyDescent="0.2">
      <c r="A153" s="457" t="s">
        <v>265</v>
      </c>
      <c r="B153" s="458"/>
      <c r="C153" s="458"/>
      <c r="D153" s="458"/>
      <c r="E153" s="458"/>
      <c r="F153" s="459"/>
    </row>
    <row r="154" spans="1:6" x14ac:dyDescent="0.2">
      <c r="A154" s="317" t="s">
        <v>266</v>
      </c>
      <c r="B154" s="317" t="s">
        <v>267</v>
      </c>
      <c r="C154" s="317" t="s">
        <v>268</v>
      </c>
      <c r="D154" s="460" t="s">
        <v>319</v>
      </c>
      <c r="E154" s="461"/>
      <c r="F154" s="462"/>
    </row>
    <row r="155" spans="1:6" x14ac:dyDescent="0.2">
      <c r="A155" s="211" t="s">
        <v>270</v>
      </c>
      <c r="B155" s="212"/>
      <c r="C155" s="298">
        <f>F147</f>
        <v>17.123999999999999</v>
      </c>
      <c r="D155" s="463"/>
      <c r="E155" s="464"/>
      <c r="F155" s="465"/>
    </row>
    <row r="156" spans="1:6" x14ac:dyDescent="0.2">
      <c r="A156" s="211" t="s">
        <v>271</v>
      </c>
      <c r="B156" s="213"/>
      <c r="C156" s="298">
        <f>F151</f>
        <v>55</v>
      </c>
      <c r="D156" s="463"/>
      <c r="E156" s="464"/>
      <c r="F156" s="465"/>
    </row>
    <row r="157" spans="1:6" x14ac:dyDescent="0.2">
      <c r="A157" s="211" t="s">
        <v>272</v>
      </c>
      <c r="B157" s="211"/>
      <c r="C157" s="298">
        <v>0</v>
      </c>
      <c r="D157" s="463"/>
      <c r="E157" s="464"/>
      <c r="F157" s="465"/>
    </row>
    <row r="158" spans="1:6" x14ac:dyDescent="0.2">
      <c r="A158" s="211" t="s">
        <v>273</v>
      </c>
      <c r="B158" s="211"/>
      <c r="C158" s="298">
        <v>1</v>
      </c>
      <c r="D158" s="463"/>
      <c r="E158" s="464"/>
      <c r="F158" s="465"/>
    </row>
    <row r="159" spans="1:6" x14ac:dyDescent="0.2">
      <c r="A159" s="211" t="s">
        <v>274</v>
      </c>
      <c r="B159" s="211"/>
      <c r="C159" s="298">
        <f>C155+C157</f>
        <v>17.123999999999999</v>
      </c>
      <c r="D159" s="463"/>
      <c r="E159" s="464"/>
      <c r="F159" s="465"/>
    </row>
    <row r="160" spans="1:6" x14ac:dyDescent="0.2">
      <c r="A160" s="211" t="s">
        <v>275</v>
      </c>
      <c r="B160" s="211"/>
      <c r="C160" s="298">
        <f>(C155+C157)/C158</f>
        <v>17.123999999999999</v>
      </c>
      <c r="D160" s="463"/>
      <c r="E160" s="464"/>
      <c r="F160" s="465"/>
    </row>
    <row r="161" spans="1:6" x14ac:dyDescent="0.2">
      <c r="A161" s="211" t="s">
        <v>276</v>
      </c>
      <c r="B161" s="211"/>
      <c r="C161" s="298">
        <f>C156+C160</f>
        <v>72.123999999999995</v>
      </c>
      <c r="D161" s="463"/>
      <c r="E161" s="464"/>
      <c r="F161" s="465"/>
    </row>
    <row r="162" spans="1:6" x14ac:dyDescent="0.2">
      <c r="A162" s="211" t="s">
        <v>277</v>
      </c>
      <c r="B162" s="212">
        <v>0.2631</v>
      </c>
      <c r="C162" s="298">
        <f>C161*B162</f>
        <v>18.9758244</v>
      </c>
      <c r="D162" s="463"/>
      <c r="E162" s="464"/>
      <c r="F162" s="465"/>
    </row>
    <row r="163" spans="1:6" x14ac:dyDescent="0.2">
      <c r="A163" s="211" t="s">
        <v>278</v>
      </c>
      <c r="B163" s="469">
        <f>C161+C162</f>
        <v>91.099824399999989</v>
      </c>
      <c r="C163" s="470"/>
      <c r="D163" s="466"/>
      <c r="E163" s="467"/>
      <c r="F163" s="468"/>
    </row>
    <row r="164" spans="1:6" x14ac:dyDescent="0.2">
      <c r="A164" s="454"/>
      <c r="B164" s="455"/>
      <c r="C164" s="455"/>
      <c r="D164" s="455"/>
      <c r="E164" s="455"/>
      <c r="F164" s="456"/>
    </row>
    <row r="165" spans="1:6" ht="29.25" customHeight="1" x14ac:dyDescent="0.2">
      <c r="A165" s="471" t="s">
        <v>329</v>
      </c>
      <c r="B165" s="472"/>
      <c r="C165" s="472"/>
      <c r="D165" s="473"/>
      <c r="E165" s="201" t="s">
        <v>325</v>
      </c>
      <c r="F165" s="202" t="s">
        <v>32</v>
      </c>
    </row>
    <row r="166" spans="1:6" x14ac:dyDescent="0.2">
      <c r="A166" s="317" t="s">
        <v>253</v>
      </c>
      <c r="B166" s="317" t="s">
        <v>254</v>
      </c>
      <c r="C166" s="317" t="s">
        <v>255</v>
      </c>
      <c r="D166" s="203" t="s">
        <v>256</v>
      </c>
      <c r="E166" s="204" t="s">
        <v>257</v>
      </c>
      <c r="F166" s="204" t="s">
        <v>258</v>
      </c>
    </row>
    <row r="167" spans="1:6" x14ac:dyDescent="0.2">
      <c r="A167" s="195" t="s">
        <v>331</v>
      </c>
      <c r="B167" s="318" t="s">
        <v>260</v>
      </c>
      <c r="C167" s="205" t="s">
        <v>332</v>
      </c>
      <c r="D167" s="206">
        <v>2</v>
      </c>
      <c r="E167" s="207">
        <v>19.93</v>
      </c>
      <c r="F167" s="207">
        <f>TRUNC(D167*E167,2)</f>
        <v>39.86</v>
      </c>
    </row>
    <row r="168" spans="1:6" x14ac:dyDescent="0.2">
      <c r="A168" s="330" t="s">
        <v>309</v>
      </c>
      <c r="B168" s="318" t="s">
        <v>260</v>
      </c>
      <c r="C168" s="218" t="s">
        <v>757</v>
      </c>
      <c r="D168" s="206">
        <v>1</v>
      </c>
      <c r="E168" s="207">
        <v>9.1199999999999992</v>
      </c>
      <c r="F168" s="207">
        <f>TRUNC(D168*E168,2)</f>
        <v>9.1199999999999992</v>
      </c>
    </row>
    <row r="169" spans="1:6" x14ac:dyDescent="0.2">
      <c r="A169" s="475" t="s">
        <v>261</v>
      </c>
      <c r="B169" s="476"/>
      <c r="C169" s="476"/>
      <c r="D169" s="476"/>
      <c r="E169" s="476"/>
      <c r="F169" s="207">
        <f>SUM(F167:F168)</f>
        <v>48.98</v>
      </c>
    </row>
    <row r="170" spans="1:6" x14ac:dyDescent="0.2">
      <c r="A170" s="477"/>
      <c r="B170" s="478"/>
      <c r="C170" s="478"/>
      <c r="D170" s="478"/>
      <c r="E170" s="478"/>
      <c r="F170" s="479"/>
    </row>
    <row r="171" spans="1:6" x14ac:dyDescent="0.2">
      <c r="A171" s="317" t="s">
        <v>262</v>
      </c>
      <c r="B171" s="317" t="s">
        <v>254</v>
      </c>
      <c r="C171" s="317" t="s">
        <v>255</v>
      </c>
      <c r="D171" s="203" t="s">
        <v>256</v>
      </c>
      <c r="E171" s="204" t="s">
        <v>257</v>
      </c>
      <c r="F171" s="204" t="s">
        <v>258</v>
      </c>
    </row>
    <row r="172" spans="1:6" ht="25.5" x14ac:dyDescent="0.2">
      <c r="A172" s="214" t="s">
        <v>333</v>
      </c>
      <c r="B172" s="318" t="s">
        <v>32</v>
      </c>
      <c r="C172" s="218" t="s">
        <v>334</v>
      </c>
      <c r="D172" s="206">
        <v>1</v>
      </c>
      <c r="E172" s="207">
        <v>764.58</v>
      </c>
      <c r="F172" s="207">
        <f>TRUNC(D172*E172,2)</f>
        <v>764.58</v>
      </c>
    </row>
    <row r="173" spans="1:6" ht="25.5" x14ac:dyDescent="0.2">
      <c r="A173" s="55" t="s">
        <v>335</v>
      </c>
      <c r="B173" s="318" t="s">
        <v>36</v>
      </c>
      <c r="C173" s="217">
        <v>93358</v>
      </c>
      <c r="D173" s="206">
        <v>0.02</v>
      </c>
      <c r="E173" s="207">
        <v>56.45</v>
      </c>
      <c r="F173" s="207">
        <f>TRUNC(D173*E173,2)</f>
        <v>1.1200000000000001</v>
      </c>
    </row>
    <row r="174" spans="1:6" ht="25.5" x14ac:dyDescent="0.2">
      <c r="A174" s="216" t="s">
        <v>302</v>
      </c>
      <c r="B174" s="318" t="s">
        <v>36</v>
      </c>
      <c r="C174" s="217" t="s">
        <v>303</v>
      </c>
      <c r="D174" s="206">
        <v>0.02</v>
      </c>
      <c r="E174" s="207">
        <v>435.13</v>
      </c>
      <c r="F174" s="207">
        <f>TRUNC(D174*E174,2)</f>
        <v>8.6999999999999993</v>
      </c>
    </row>
    <row r="175" spans="1:6" ht="63.75" x14ac:dyDescent="0.2">
      <c r="A175" s="216" t="s">
        <v>336</v>
      </c>
      <c r="B175" s="318" t="s">
        <v>337</v>
      </c>
      <c r="C175" s="217">
        <v>93402</v>
      </c>
      <c r="D175" s="206">
        <v>1</v>
      </c>
      <c r="E175" s="207">
        <v>147.52000000000001</v>
      </c>
      <c r="F175" s="207">
        <f>D175*E175</f>
        <v>147.52000000000001</v>
      </c>
    </row>
    <row r="176" spans="1:6" x14ac:dyDescent="0.2">
      <c r="A176" s="475" t="s">
        <v>261</v>
      </c>
      <c r="B176" s="476"/>
      <c r="C176" s="476"/>
      <c r="D176" s="476"/>
      <c r="E176" s="476"/>
      <c r="F176" s="207">
        <f>SUM(F172:F175)</f>
        <v>921.92000000000007</v>
      </c>
    </row>
    <row r="177" spans="1:6" x14ac:dyDescent="0.2">
      <c r="A177" s="454"/>
      <c r="B177" s="455"/>
      <c r="C177" s="455"/>
      <c r="D177" s="455"/>
      <c r="E177" s="455"/>
      <c r="F177" s="456"/>
    </row>
    <row r="178" spans="1:6" x14ac:dyDescent="0.2">
      <c r="A178" s="457" t="s">
        <v>265</v>
      </c>
      <c r="B178" s="458"/>
      <c r="C178" s="458"/>
      <c r="D178" s="458"/>
      <c r="E178" s="458"/>
      <c r="F178" s="459"/>
    </row>
    <row r="179" spans="1:6" x14ac:dyDescent="0.2">
      <c r="A179" s="317" t="s">
        <v>266</v>
      </c>
      <c r="B179" s="317" t="s">
        <v>267</v>
      </c>
      <c r="C179" s="317" t="s">
        <v>268</v>
      </c>
      <c r="D179" s="460" t="s">
        <v>338</v>
      </c>
      <c r="E179" s="461"/>
      <c r="F179" s="462"/>
    </row>
    <row r="180" spans="1:6" x14ac:dyDescent="0.2">
      <c r="A180" s="211" t="s">
        <v>270</v>
      </c>
      <c r="B180" s="212"/>
      <c r="C180" s="298">
        <f>F169</f>
        <v>48.98</v>
      </c>
      <c r="D180" s="463"/>
      <c r="E180" s="464"/>
      <c r="F180" s="465"/>
    </row>
    <row r="181" spans="1:6" x14ac:dyDescent="0.2">
      <c r="A181" s="211" t="s">
        <v>271</v>
      </c>
      <c r="B181" s="213"/>
      <c r="C181" s="298">
        <f>F176</f>
        <v>921.92000000000007</v>
      </c>
      <c r="D181" s="463"/>
      <c r="E181" s="464"/>
      <c r="F181" s="465"/>
    </row>
    <row r="182" spans="1:6" x14ac:dyDescent="0.2">
      <c r="A182" s="211" t="s">
        <v>272</v>
      </c>
      <c r="B182" s="211"/>
      <c r="C182" s="298">
        <v>0</v>
      </c>
      <c r="D182" s="463"/>
      <c r="E182" s="464"/>
      <c r="F182" s="465"/>
    </row>
    <row r="183" spans="1:6" x14ac:dyDescent="0.2">
      <c r="A183" s="211" t="s">
        <v>273</v>
      </c>
      <c r="B183" s="211"/>
      <c r="C183" s="298">
        <v>1</v>
      </c>
      <c r="D183" s="463"/>
      <c r="E183" s="464"/>
      <c r="F183" s="465"/>
    </row>
    <row r="184" spans="1:6" x14ac:dyDescent="0.2">
      <c r="A184" s="211" t="s">
        <v>274</v>
      </c>
      <c r="B184" s="211"/>
      <c r="C184" s="298">
        <f>C180+C182</f>
        <v>48.98</v>
      </c>
      <c r="D184" s="463"/>
      <c r="E184" s="464"/>
      <c r="F184" s="465"/>
    </row>
    <row r="185" spans="1:6" x14ac:dyDescent="0.2">
      <c r="A185" s="211" t="s">
        <v>275</v>
      </c>
      <c r="B185" s="211"/>
      <c r="C185" s="298">
        <f>(C180+C182)/C183</f>
        <v>48.98</v>
      </c>
      <c r="D185" s="463"/>
      <c r="E185" s="464"/>
      <c r="F185" s="465"/>
    </row>
    <row r="186" spans="1:6" x14ac:dyDescent="0.2">
      <c r="A186" s="211" t="s">
        <v>276</v>
      </c>
      <c r="B186" s="211"/>
      <c r="C186" s="298">
        <f>C181+C185</f>
        <v>970.90000000000009</v>
      </c>
      <c r="D186" s="463"/>
      <c r="E186" s="464"/>
      <c r="F186" s="465"/>
    </row>
    <row r="187" spans="1:6" x14ac:dyDescent="0.2">
      <c r="A187" s="211" t="s">
        <v>277</v>
      </c>
      <c r="B187" s="212">
        <v>0.2631</v>
      </c>
      <c r="C187" s="298">
        <f>C186*B187</f>
        <v>255.44379000000004</v>
      </c>
      <c r="D187" s="463"/>
      <c r="E187" s="464"/>
      <c r="F187" s="465"/>
    </row>
    <row r="188" spans="1:6" x14ac:dyDescent="0.2">
      <c r="A188" s="211" t="s">
        <v>278</v>
      </c>
      <c r="B188" s="469">
        <f>C186+C187</f>
        <v>1226.3437900000001</v>
      </c>
      <c r="C188" s="470"/>
      <c r="D188" s="466"/>
      <c r="E188" s="467"/>
      <c r="F188" s="468"/>
    </row>
    <row r="189" spans="1:6" x14ac:dyDescent="0.2">
      <c r="A189" s="483"/>
      <c r="B189" s="484"/>
      <c r="C189" s="484"/>
      <c r="D189" s="484"/>
      <c r="E189" s="484"/>
      <c r="F189" s="485"/>
    </row>
    <row r="190" spans="1:6" ht="45" customHeight="1" x14ac:dyDescent="0.2">
      <c r="A190" s="471" t="s">
        <v>772</v>
      </c>
      <c r="B190" s="472"/>
      <c r="C190" s="472"/>
      <c r="D190" s="473"/>
      <c r="E190" s="201" t="s">
        <v>327</v>
      </c>
      <c r="F190" s="202" t="s">
        <v>22</v>
      </c>
    </row>
    <row r="191" spans="1:6" x14ac:dyDescent="0.2">
      <c r="A191" s="317" t="s">
        <v>253</v>
      </c>
      <c r="B191" s="317" t="s">
        <v>254</v>
      </c>
      <c r="C191" s="317" t="s">
        <v>255</v>
      </c>
      <c r="D191" s="203" t="s">
        <v>256</v>
      </c>
      <c r="E191" s="204" t="s">
        <v>257</v>
      </c>
      <c r="F191" s="204" t="s">
        <v>258</v>
      </c>
    </row>
    <row r="192" spans="1:6" x14ac:dyDescent="0.2">
      <c r="A192" s="195" t="s">
        <v>340</v>
      </c>
      <c r="B192" s="318" t="s">
        <v>260</v>
      </c>
      <c r="C192" s="218" t="s">
        <v>761</v>
      </c>
      <c r="D192" s="206">
        <v>0.6</v>
      </c>
      <c r="E192" s="207">
        <v>13.37</v>
      </c>
      <c r="F192" s="207">
        <f>TRUNC(E192*D192,2)</f>
        <v>8.02</v>
      </c>
    </row>
    <row r="193" spans="1:6" x14ac:dyDescent="0.2">
      <c r="A193" s="195" t="s">
        <v>341</v>
      </c>
      <c r="B193" s="318" t="s">
        <v>260</v>
      </c>
      <c r="C193" s="218" t="s">
        <v>762</v>
      </c>
      <c r="D193" s="206">
        <v>0.5</v>
      </c>
      <c r="E193" s="207">
        <v>9.4700000000000006</v>
      </c>
      <c r="F193" s="207">
        <f>TRUNC(E193*D193,2)</f>
        <v>4.7300000000000004</v>
      </c>
    </row>
    <row r="194" spans="1:6" x14ac:dyDescent="0.2">
      <c r="A194" s="449" t="s">
        <v>261</v>
      </c>
      <c r="B194" s="449"/>
      <c r="C194" s="449"/>
      <c r="D194" s="449"/>
      <c r="E194" s="449"/>
      <c r="F194" s="207">
        <f>SUM(F192:F193)</f>
        <v>12.75</v>
      </c>
    </row>
    <row r="195" spans="1:6" x14ac:dyDescent="0.2">
      <c r="A195" s="474"/>
      <c r="B195" s="474"/>
      <c r="C195" s="474"/>
      <c r="D195" s="474"/>
      <c r="E195" s="474"/>
      <c r="F195" s="474"/>
    </row>
    <row r="196" spans="1:6" x14ac:dyDescent="0.2">
      <c r="A196" s="317" t="s">
        <v>262</v>
      </c>
      <c r="B196" s="317" t="s">
        <v>254</v>
      </c>
      <c r="C196" s="317" t="s">
        <v>255</v>
      </c>
      <c r="D196" s="203" t="s">
        <v>256</v>
      </c>
      <c r="E196" s="204" t="s">
        <v>257</v>
      </c>
      <c r="F196" s="204" t="s">
        <v>258</v>
      </c>
    </row>
    <row r="197" spans="1:6" ht="38.25" x14ac:dyDescent="0.2">
      <c r="A197" s="208" t="s">
        <v>770</v>
      </c>
      <c r="B197" s="318" t="s">
        <v>22</v>
      </c>
      <c r="C197" s="217" t="s">
        <v>771</v>
      </c>
      <c r="D197" s="206">
        <v>1</v>
      </c>
      <c r="E197" s="207">
        <v>14.59</v>
      </c>
      <c r="F197" s="207">
        <f>TRUNC(E197*D197,2)</f>
        <v>14.59</v>
      </c>
    </row>
    <row r="198" spans="1:6" ht="25.5" x14ac:dyDescent="0.2">
      <c r="A198" s="208" t="s">
        <v>775</v>
      </c>
      <c r="B198" s="318" t="s">
        <v>32</v>
      </c>
      <c r="C198" s="217" t="s">
        <v>774</v>
      </c>
      <c r="D198" s="206">
        <v>0.114</v>
      </c>
      <c r="E198" s="207">
        <v>72.930000000000007</v>
      </c>
      <c r="F198" s="207">
        <f>TRUNC(E198*D198,2)</f>
        <v>8.31</v>
      </c>
    </row>
    <row r="199" spans="1:6" ht="25.5" x14ac:dyDescent="0.2">
      <c r="A199" s="208" t="s">
        <v>342</v>
      </c>
      <c r="B199" s="318" t="s">
        <v>32</v>
      </c>
      <c r="C199" s="217" t="s">
        <v>343</v>
      </c>
      <c r="D199" s="206">
        <v>4.9000000000000002E-2</v>
      </c>
      <c r="E199" s="207">
        <v>84.55</v>
      </c>
      <c r="F199" s="207">
        <f>TRUNC(E199*D199,2)</f>
        <v>4.1399999999999997</v>
      </c>
    </row>
    <row r="200" spans="1:6" x14ac:dyDescent="0.2">
      <c r="A200" s="449" t="s">
        <v>261</v>
      </c>
      <c r="B200" s="449"/>
      <c r="C200" s="449"/>
      <c r="D200" s="449"/>
      <c r="E200" s="449"/>
      <c r="F200" s="207">
        <f>SUM(F197:F199)</f>
        <v>27.04</v>
      </c>
    </row>
    <row r="201" spans="1:6" x14ac:dyDescent="0.2">
      <c r="A201" s="450"/>
      <c r="B201" s="450"/>
      <c r="C201" s="450"/>
      <c r="D201" s="450"/>
      <c r="E201" s="450"/>
      <c r="F201" s="450"/>
    </row>
    <row r="202" spans="1:6" x14ac:dyDescent="0.2">
      <c r="A202" s="451" t="s">
        <v>265</v>
      </c>
      <c r="B202" s="451"/>
      <c r="C202" s="451"/>
      <c r="D202" s="451"/>
      <c r="E202" s="451"/>
      <c r="F202" s="451"/>
    </row>
    <row r="203" spans="1:6" x14ac:dyDescent="0.2">
      <c r="A203" s="317" t="s">
        <v>266</v>
      </c>
      <c r="B203" s="317" t="s">
        <v>267</v>
      </c>
      <c r="C203" s="317" t="s">
        <v>268</v>
      </c>
      <c r="D203" s="452" t="s">
        <v>269</v>
      </c>
      <c r="E203" s="452"/>
      <c r="F203" s="452"/>
    </row>
    <row r="204" spans="1:6" x14ac:dyDescent="0.2">
      <c r="A204" s="211" t="s">
        <v>270</v>
      </c>
      <c r="B204" s="212"/>
      <c r="C204" s="298">
        <f>F194</f>
        <v>12.75</v>
      </c>
      <c r="D204" s="452"/>
      <c r="E204" s="452"/>
      <c r="F204" s="452"/>
    </row>
    <row r="205" spans="1:6" x14ac:dyDescent="0.2">
      <c r="A205" s="211" t="s">
        <v>271</v>
      </c>
      <c r="B205" s="213"/>
      <c r="C205" s="298">
        <f>F200</f>
        <v>27.04</v>
      </c>
      <c r="D205" s="452"/>
      <c r="E205" s="452"/>
      <c r="F205" s="452"/>
    </row>
    <row r="206" spans="1:6" x14ac:dyDescent="0.2">
      <c r="A206" s="211" t="s">
        <v>272</v>
      </c>
      <c r="B206" s="211"/>
      <c r="C206" s="298">
        <v>0</v>
      </c>
      <c r="D206" s="452"/>
      <c r="E206" s="452"/>
      <c r="F206" s="452"/>
    </row>
    <row r="207" spans="1:6" x14ac:dyDescent="0.2">
      <c r="A207" s="211" t="s">
        <v>273</v>
      </c>
      <c r="B207" s="211"/>
      <c r="C207" s="298">
        <v>1</v>
      </c>
      <c r="D207" s="452"/>
      <c r="E207" s="452"/>
      <c r="F207" s="452"/>
    </row>
    <row r="208" spans="1:6" x14ac:dyDescent="0.2">
      <c r="A208" s="211" t="s">
        <v>274</v>
      </c>
      <c r="B208" s="211"/>
      <c r="C208" s="298">
        <f>C204+C206</f>
        <v>12.75</v>
      </c>
      <c r="D208" s="452"/>
      <c r="E208" s="452"/>
      <c r="F208" s="452"/>
    </row>
    <row r="209" spans="1:6" x14ac:dyDescent="0.2">
      <c r="A209" s="211" t="s">
        <v>275</v>
      </c>
      <c r="B209" s="211"/>
      <c r="C209" s="298">
        <f>(C204+C206)/C207</f>
        <v>12.75</v>
      </c>
      <c r="D209" s="452"/>
      <c r="E209" s="452"/>
      <c r="F209" s="452"/>
    </row>
    <row r="210" spans="1:6" x14ac:dyDescent="0.2">
      <c r="A210" s="211" t="s">
        <v>276</v>
      </c>
      <c r="B210" s="211"/>
      <c r="C210" s="298">
        <f>C205+C209</f>
        <v>39.79</v>
      </c>
      <c r="D210" s="452"/>
      <c r="E210" s="452"/>
      <c r="F210" s="452"/>
    </row>
    <row r="211" spans="1:6" x14ac:dyDescent="0.2">
      <c r="A211" s="211" t="s">
        <v>277</v>
      </c>
      <c r="B211" s="212">
        <v>0.2631</v>
      </c>
      <c r="C211" s="298">
        <f>C210*B211</f>
        <v>10.468748999999999</v>
      </c>
      <c r="D211" s="452"/>
      <c r="E211" s="452"/>
      <c r="F211" s="452"/>
    </row>
    <row r="212" spans="1:6" x14ac:dyDescent="0.2">
      <c r="A212" s="211" t="s">
        <v>278</v>
      </c>
      <c r="B212" s="453">
        <f>C210+C211</f>
        <v>50.258748999999995</v>
      </c>
      <c r="C212" s="453"/>
      <c r="D212" s="452"/>
      <c r="E212" s="452"/>
      <c r="F212" s="452"/>
    </row>
    <row r="213" spans="1:6" x14ac:dyDescent="0.2">
      <c r="A213" s="450"/>
      <c r="B213" s="450"/>
      <c r="C213" s="450"/>
      <c r="D213" s="450"/>
      <c r="E213" s="450"/>
      <c r="F213" s="450"/>
    </row>
    <row r="214" spans="1:6" x14ac:dyDescent="0.2">
      <c r="A214" s="471" t="s">
        <v>488</v>
      </c>
      <c r="B214" s="472"/>
      <c r="C214" s="472"/>
      <c r="D214" s="473"/>
      <c r="E214" s="201" t="s">
        <v>330</v>
      </c>
      <c r="F214" s="202" t="s">
        <v>18</v>
      </c>
    </row>
    <row r="215" spans="1:6" x14ac:dyDescent="0.2">
      <c r="A215" s="317" t="s">
        <v>253</v>
      </c>
      <c r="B215" s="317" t="s">
        <v>254</v>
      </c>
      <c r="C215" s="317" t="s">
        <v>255</v>
      </c>
      <c r="D215" s="203" t="s">
        <v>256</v>
      </c>
      <c r="E215" s="204" t="s">
        <v>257</v>
      </c>
      <c r="F215" s="204" t="s">
        <v>258</v>
      </c>
    </row>
    <row r="216" spans="1:6" x14ac:dyDescent="0.2">
      <c r="A216" s="195" t="s">
        <v>323</v>
      </c>
      <c r="B216" s="318" t="s">
        <v>260</v>
      </c>
      <c r="C216" s="218" t="s">
        <v>324</v>
      </c>
      <c r="D216" s="206">
        <v>0.05</v>
      </c>
      <c r="E216" s="207">
        <v>14.59</v>
      </c>
      <c r="F216" s="207">
        <f>TRUNC(E216*D216,2)</f>
        <v>0.72</v>
      </c>
    </row>
    <row r="217" spans="1:6" x14ac:dyDescent="0.2">
      <c r="A217" s="449" t="s">
        <v>261</v>
      </c>
      <c r="B217" s="449"/>
      <c r="C217" s="449"/>
      <c r="D217" s="449"/>
      <c r="E217" s="449"/>
      <c r="F217" s="207">
        <f>SUM(F216:F216)</f>
        <v>0.72</v>
      </c>
    </row>
    <row r="218" spans="1:6" x14ac:dyDescent="0.2">
      <c r="A218" s="474" t="s">
        <v>305</v>
      </c>
      <c r="B218" s="474"/>
      <c r="C218" s="474"/>
      <c r="D218" s="474"/>
      <c r="E218" s="474"/>
      <c r="F218" s="474"/>
    </row>
    <row r="219" spans="1:6" x14ac:dyDescent="0.2">
      <c r="A219" s="317" t="s">
        <v>262</v>
      </c>
      <c r="B219" s="317" t="s">
        <v>254</v>
      </c>
      <c r="C219" s="317" t="s">
        <v>255</v>
      </c>
      <c r="D219" s="203" t="s">
        <v>256</v>
      </c>
      <c r="E219" s="204" t="s">
        <v>257</v>
      </c>
      <c r="F219" s="204" t="s">
        <v>258</v>
      </c>
    </row>
    <row r="220" spans="1:6" x14ac:dyDescent="0.2">
      <c r="A220" s="208" t="s">
        <v>488</v>
      </c>
      <c r="B220" s="318" t="s">
        <v>18</v>
      </c>
      <c r="C220" s="217" t="s">
        <v>489</v>
      </c>
      <c r="D220" s="206">
        <v>1</v>
      </c>
      <c r="E220" s="207">
        <v>6.38</v>
      </c>
      <c r="F220" s="207">
        <f>TRUNC(E220*D220,2)</f>
        <v>6.38</v>
      </c>
    </row>
    <row r="221" spans="1:6" x14ac:dyDescent="0.2">
      <c r="A221" s="449" t="s">
        <v>261</v>
      </c>
      <c r="B221" s="449"/>
      <c r="C221" s="449"/>
      <c r="D221" s="449"/>
      <c r="E221" s="449"/>
      <c r="F221" s="207">
        <f>SUM(F220:F220)</f>
        <v>6.38</v>
      </c>
    </row>
    <row r="222" spans="1:6" x14ac:dyDescent="0.2">
      <c r="A222" s="450"/>
      <c r="B222" s="450"/>
      <c r="C222" s="450"/>
      <c r="D222" s="450"/>
      <c r="E222" s="450"/>
      <c r="F222" s="450"/>
    </row>
    <row r="223" spans="1:6" x14ac:dyDescent="0.2">
      <c r="A223" s="451" t="s">
        <v>265</v>
      </c>
      <c r="B223" s="451"/>
      <c r="C223" s="451"/>
      <c r="D223" s="451"/>
      <c r="E223" s="451"/>
      <c r="F223" s="451"/>
    </row>
    <row r="224" spans="1:6" x14ac:dyDescent="0.2">
      <c r="A224" s="317" t="s">
        <v>266</v>
      </c>
      <c r="B224" s="317" t="s">
        <v>267</v>
      </c>
      <c r="C224" s="317" t="s">
        <v>268</v>
      </c>
      <c r="D224" s="452" t="s">
        <v>483</v>
      </c>
      <c r="E224" s="452"/>
      <c r="F224" s="452"/>
    </row>
    <row r="225" spans="1:6" x14ac:dyDescent="0.2">
      <c r="A225" s="211" t="s">
        <v>270</v>
      </c>
      <c r="B225" s="212"/>
      <c r="C225" s="298">
        <f>F217</f>
        <v>0.72</v>
      </c>
      <c r="D225" s="452"/>
      <c r="E225" s="452"/>
      <c r="F225" s="452"/>
    </row>
    <row r="226" spans="1:6" x14ac:dyDescent="0.2">
      <c r="A226" s="211" t="s">
        <v>271</v>
      </c>
      <c r="B226" s="213"/>
      <c r="C226" s="298">
        <f>F221</f>
        <v>6.38</v>
      </c>
      <c r="D226" s="452"/>
      <c r="E226" s="452"/>
      <c r="F226" s="452"/>
    </row>
    <row r="227" spans="1:6" x14ac:dyDescent="0.2">
      <c r="A227" s="211" t="s">
        <v>272</v>
      </c>
      <c r="B227" s="211"/>
      <c r="C227" s="298">
        <v>0</v>
      </c>
      <c r="D227" s="452"/>
      <c r="E227" s="452"/>
      <c r="F227" s="452"/>
    </row>
    <row r="228" spans="1:6" x14ac:dyDescent="0.2">
      <c r="A228" s="211" t="s">
        <v>273</v>
      </c>
      <c r="B228" s="211"/>
      <c r="C228" s="298">
        <v>1</v>
      </c>
      <c r="D228" s="452"/>
      <c r="E228" s="452"/>
      <c r="F228" s="452"/>
    </row>
    <row r="229" spans="1:6" x14ac:dyDescent="0.2">
      <c r="A229" s="211" t="s">
        <v>274</v>
      </c>
      <c r="B229" s="211"/>
      <c r="C229" s="298">
        <f>C225+C227</f>
        <v>0.72</v>
      </c>
      <c r="D229" s="452"/>
      <c r="E229" s="452"/>
      <c r="F229" s="452"/>
    </row>
    <row r="230" spans="1:6" x14ac:dyDescent="0.2">
      <c r="A230" s="211" t="s">
        <v>275</v>
      </c>
      <c r="B230" s="211"/>
      <c r="C230" s="298">
        <f>(C225+C227)/C228</f>
        <v>0.72</v>
      </c>
      <c r="D230" s="452"/>
      <c r="E230" s="452"/>
      <c r="F230" s="452"/>
    </row>
    <row r="231" spans="1:6" x14ac:dyDescent="0.2">
      <c r="A231" s="211" t="s">
        <v>276</v>
      </c>
      <c r="B231" s="211"/>
      <c r="C231" s="298">
        <f>C226+C230</f>
        <v>7.1</v>
      </c>
      <c r="D231" s="452"/>
      <c r="E231" s="452"/>
      <c r="F231" s="452"/>
    </row>
    <row r="232" spans="1:6" x14ac:dyDescent="0.2">
      <c r="A232" s="211" t="s">
        <v>277</v>
      </c>
      <c r="B232" s="212">
        <v>0.2631</v>
      </c>
      <c r="C232" s="298">
        <f>C231*B232</f>
        <v>1.8680099999999999</v>
      </c>
      <c r="D232" s="452"/>
      <c r="E232" s="452"/>
      <c r="F232" s="452"/>
    </row>
    <row r="233" spans="1:6" x14ac:dyDescent="0.2">
      <c r="A233" s="211" t="s">
        <v>278</v>
      </c>
      <c r="B233" s="453">
        <f>C231+C232</f>
        <v>8.9680099999999996</v>
      </c>
      <c r="C233" s="453"/>
      <c r="D233" s="452"/>
      <c r="E233" s="452"/>
      <c r="F233" s="452"/>
    </row>
    <row r="234" spans="1:6" x14ac:dyDescent="0.2">
      <c r="A234" s="454"/>
      <c r="B234" s="455"/>
      <c r="C234" s="455"/>
      <c r="D234" s="455"/>
      <c r="E234" s="455"/>
      <c r="F234" s="456"/>
    </row>
    <row r="235" spans="1:6" ht="40.5" customHeight="1" x14ac:dyDescent="0.2">
      <c r="A235" s="480" t="s">
        <v>345</v>
      </c>
      <c r="B235" s="481"/>
      <c r="C235" s="481"/>
      <c r="D235" s="482"/>
      <c r="E235" s="201" t="s">
        <v>339</v>
      </c>
      <c r="F235" s="202" t="s">
        <v>32</v>
      </c>
    </row>
    <row r="236" spans="1:6" x14ac:dyDescent="0.2">
      <c r="A236" s="317" t="s">
        <v>262</v>
      </c>
      <c r="B236" s="317" t="s">
        <v>254</v>
      </c>
      <c r="C236" s="317" t="s">
        <v>255</v>
      </c>
      <c r="D236" s="203" t="s">
        <v>256</v>
      </c>
      <c r="E236" s="204" t="s">
        <v>257</v>
      </c>
      <c r="F236" s="204" t="s">
        <v>258</v>
      </c>
    </row>
    <row r="237" spans="1:6" ht="25.5" x14ac:dyDescent="0.2">
      <c r="A237" s="208" t="s">
        <v>347</v>
      </c>
      <c r="B237" s="318" t="s">
        <v>32</v>
      </c>
      <c r="C237" s="217" t="s">
        <v>348</v>
      </c>
      <c r="D237" s="206">
        <v>1</v>
      </c>
      <c r="E237" s="207">
        <v>688.06</v>
      </c>
      <c r="F237" s="207">
        <f>TRUNC(E237*D237,2)</f>
        <v>688.06</v>
      </c>
    </row>
    <row r="238" spans="1:6" x14ac:dyDescent="0.2">
      <c r="A238" s="475" t="s">
        <v>261</v>
      </c>
      <c r="B238" s="476"/>
      <c r="C238" s="476"/>
      <c r="D238" s="476"/>
      <c r="E238" s="476"/>
      <c r="F238" s="207">
        <f>SUM(F237:F237)</f>
        <v>688.06</v>
      </c>
    </row>
    <row r="239" spans="1:6" x14ac:dyDescent="0.2">
      <c r="A239" s="450"/>
      <c r="B239" s="450"/>
      <c r="C239" s="450"/>
      <c r="D239" s="450"/>
      <c r="E239" s="450"/>
      <c r="F239" s="450"/>
    </row>
    <row r="240" spans="1:6" x14ac:dyDescent="0.2">
      <c r="A240" s="451" t="s">
        <v>265</v>
      </c>
      <c r="B240" s="451"/>
      <c r="C240" s="451"/>
      <c r="D240" s="451"/>
      <c r="E240" s="451"/>
      <c r="F240" s="451"/>
    </row>
    <row r="241" spans="1:6" x14ac:dyDescent="0.2">
      <c r="A241" s="317" t="s">
        <v>266</v>
      </c>
      <c r="B241" s="317" t="s">
        <v>267</v>
      </c>
      <c r="C241" s="317" t="s">
        <v>268</v>
      </c>
      <c r="D241" s="452" t="s">
        <v>349</v>
      </c>
      <c r="E241" s="452"/>
      <c r="F241" s="452"/>
    </row>
    <row r="242" spans="1:6" x14ac:dyDescent="0.2">
      <c r="A242" s="211" t="s">
        <v>270</v>
      </c>
      <c r="B242" s="212"/>
      <c r="C242" s="298">
        <v>0</v>
      </c>
      <c r="D242" s="452"/>
      <c r="E242" s="452"/>
      <c r="F242" s="452"/>
    </row>
    <row r="243" spans="1:6" x14ac:dyDescent="0.2">
      <c r="A243" s="211" t="s">
        <v>271</v>
      </c>
      <c r="B243" s="213"/>
      <c r="C243" s="298">
        <f>F238</f>
        <v>688.06</v>
      </c>
      <c r="D243" s="452"/>
      <c r="E243" s="452"/>
      <c r="F243" s="452"/>
    </row>
    <row r="244" spans="1:6" x14ac:dyDescent="0.2">
      <c r="A244" s="211" t="s">
        <v>272</v>
      </c>
      <c r="B244" s="211"/>
      <c r="C244" s="298">
        <v>0</v>
      </c>
      <c r="D244" s="452"/>
      <c r="E244" s="452"/>
      <c r="F244" s="452"/>
    </row>
    <row r="245" spans="1:6" x14ac:dyDescent="0.2">
      <c r="A245" s="211" t="s">
        <v>273</v>
      </c>
      <c r="B245" s="211"/>
      <c r="C245" s="298">
        <v>1</v>
      </c>
      <c r="D245" s="452"/>
      <c r="E245" s="452"/>
      <c r="F245" s="452"/>
    </row>
    <row r="246" spans="1:6" x14ac:dyDescent="0.2">
      <c r="A246" s="211" t="s">
        <v>274</v>
      </c>
      <c r="B246" s="211"/>
      <c r="C246" s="298">
        <f>C242+C244</f>
        <v>0</v>
      </c>
      <c r="D246" s="452"/>
      <c r="E246" s="452"/>
      <c r="F246" s="452"/>
    </row>
    <row r="247" spans="1:6" x14ac:dyDescent="0.2">
      <c r="A247" s="211" t="s">
        <v>275</v>
      </c>
      <c r="B247" s="211"/>
      <c r="C247" s="298">
        <f>(C242+C244)/C245</f>
        <v>0</v>
      </c>
      <c r="D247" s="452"/>
      <c r="E247" s="452"/>
      <c r="F247" s="452"/>
    </row>
    <row r="248" spans="1:6" x14ac:dyDescent="0.2">
      <c r="A248" s="211" t="s">
        <v>276</v>
      </c>
      <c r="B248" s="211"/>
      <c r="C248" s="298">
        <f>C243+C247</f>
        <v>688.06</v>
      </c>
      <c r="D248" s="452"/>
      <c r="E248" s="452"/>
      <c r="F248" s="452"/>
    </row>
    <row r="249" spans="1:6" x14ac:dyDescent="0.2">
      <c r="A249" s="211" t="s">
        <v>277</v>
      </c>
      <c r="B249" s="212">
        <v>0.2631</v>
      </c>
      <c r="C249" s="298">
        <f>C248*B249</f>
        <v>181.02858599999999</v>
      </c>
      <c r="D249" s="452"/>
      <c r="E249" s="452"/>
      <c r="F249" s="452"/>
    </row>
    <row r="250" spans="1:6" x14ac:dyDescent="0.2">
      <c r="A250" s="211" t="s">
        <v>278</v>
      </c>
      <c r="B250" s="453">
        <f>C248+C249</f>
        <v>869.08858599999996</v>
      </c>
      <c r="C250" s="453"/>
      <c r="D250" s="452"/>
      <c r="E250" s="452"/>
      <c r="F250" s="452"/>
    </row>
    <row r="251" spans="1:6" x14ac:dyDescent="0.2">
      <c r="A251" s="454"/>
      <c r="B251" s="455"/>
      <c r="C251" s="455"/>
      <c r="D251" s="455"/>
      <c r="E251" s="455"/>
      <c r="F251" s="456"/>
    </row>
    <row r="252" spans="1:6" ht="31.5" customHeight="1" x14ac:dyDescent="0.2">
      <c r="A252" s="480" t="s">
        <v>173</v>
      </c>
      <c r="B252" s="481"/>
      <c r="C252" s="481"/>
      <c r="D252" s="482"/>
      <c r="E252" s="201" t="s">
        <v>344</v>
      </c>
      <c r="F252" s="202" t="s">
        <v>32</v>
      </c>
    </row>
    <row r="253" spans="1:6" x14ac:dyDescent="0.2">
      <c r="A253" s="317" t="s">
        <v>262</v>
      </c>
      <c r="B253" s="317" t="s">
        <v>254</v>
      </c>
      <c r="C253" s="317" t="s">
        <v>255</v>
      </c>
      <c r="D253" s="203" t="s">
        <v>256</v>
      </c>
      <c r="E253" s="204" t="s">
        <v>257</v>
      </c>
      <c r="F253" s="204" t="s">
        <v>258</v>
      </c>
    </row>
    <row r="254" spans="1:6" ht="25.5" x14ac:dyDescent="0.2">
      <c r="A254" s="208" t="s">
        <v>351</v>
      </c>
      <c r="B254" s="318" t="s">
        <v>32</v>
      </c>
      <c r="C254" s="217" t="s">
        <v>352</v>
      </c>
      <c r="D254" s="206">
        <v>1</v>
      </c>
      <c r="E254" s="207">
        <v>241.97</v>
      </c>
      <c r="F254" s="207">
        <f>TRUNC(E254*D254,2)</f>
        <v>241.97</v>
      </c>
    </row>
    <row r="255" spans="1:6" x14ac:dyDescent="0.2">
      <c r="A255" s="475" t="s">
        <v>261</v>
      </c>
      <c r="B255" s="476"/>
      <c r="C255" s="476"/>
      <c r="D255" s="476"/>
      <c r="E255" s="476"/>
      <c r="F255" s="207">
        <f>SUM(F254:F254)</f>
        <v>241.97</v>
      </c>
    </row>
    <row r="256" spans="1:6" x14ac:dyDescent="0.2">
      <c r="A256" s="450"/>
      <c r="B256" s="450"/>
      <c r="C256" s="450"/>
      <c r="D256" s="450"/>
      <c r="E256" s="450"/>
      <c r="F256" s="450"/>
    </row>
    <row r="257" spans="1:6" x14ac:dyDescent="0.2">
      <c r="A257" s="451" t="s">
        <v>265</v>
      </c>
      <c r="B257" s="451"/>
      <c r="C257" s="451"/>
      <c r="D257" s="451"/>
      <c r="E257" s="451"/>
      <c r="F257" s="451"/>
    </row>
    <row r="258" spans="1:6" x14ac:dyDescent="0.2">
      <c r="A258" s="317" t="s">
        <v>266</v>
      </c>
      <c r="B258" s="317" t="s">
        <v>267</v>
      </c>
      <c r="C258" s="317" t="s">
        <v>268</v>
      </c>
      <c r="D258" s="452" t="s">
        <v>353</v>
      </c>
      <c r="E258" s="452"/>
      <c r="F258" s="452"/>
    </row>
    <row r="259" spans="1:6" x14ac:dyDescent="0.2">
      <c r="A259" s="211" t="s">
        <v>270</v>
      </c>
      <c r="B259" s="212"/>
      <c r="C259" s="298">
        <v>0</v>
      </c>
      <c r="D259" s="452"/>
      <c r="E259" s="452"/>
      <c r="F259" s="452"/>
    </row>
    <row r="260" spans="1:6" x14ac:dyDescent="0.2">
      <c r="A260" s="211" t="s">
        <v>271</v>
      </c>
      <c r="B260" s="213"/>
      <c r="C260" s="298">
        <f>F255</f>
        <v>241.97</v>
      </c>
      <c r="D260" s="452"/>
      <c r="E260" s="452"/>
      <c r="F260" s="452"/>
    </row>
    <row r="261" spans="1:6" x14ac:dyDescent="0.2">
      <c r="A261" s="211" t="s">
        <v>272</v>
      </c>
      <c r="B261" s="211"/>
      <c r="C261" s="298">
        <v>0</v>
      </c>
      <c r="D261" s="452"/>
      <c r="E261" s="452"/>
      <c r="F261" s="452"/>
    </row>
    <row r="262" spans="1:6" x14ac:dyDescent="0.2">
      <c r="A262" s="211" t="s">
        <v>273</v>
      </c>
      <c r="B262" s="211"/>
      <c r="C262" s="298">
        <v>1</v>
      </c>
      <c r="D262" s="452"/>
      <c r="E262" s="452"/>
      <c r="F262" s="452"/>
    </row>
    <row r="263" spans="1:6" x14ac:dyDescent="0.2">
      <c r="A263" s="211" t="s">
        <v>274</v>
      </c>
      <c r="B263" s="211"/>
      <c r="C263" s="298">
        <f>C259+C261</f>
        <v>0</v>
      </c>
      <c r="D263" s="452"/>
      <c r="E263" s="452"/>
      <c r="F263" s="452"/>
    </row>
    <row r="264" spans="1:6" x14ac:dyDescent="0.2">
      <c r="A264" s="211" t="s">
        <v>275</v>
      </c>
      <c r="B264" s="211"/>
      <c r="C264" s="298">
        <f>(C259+C261)/C262</f>
        <v>0</v>
      </c>
      <c r="D264" s="452"/>
      <c r="E264" s="452"/>
      <c r="F264" s="452"/>
    </row>
    <row r="265" spans="1:6" x14ac:dyDescent="0.2">
      <c r="A265" s="211" t="s">
        <v>276</v>
      </c>
      <c r="B265" s="211"/>
      <c r="C265" s="298">
        <f>C260+C264</f>
        <v>241.97</v>
      </c>
      <c r="D265" s="452"/>
      <c r="E265" s="452"/>
      <c r="F265" s="452"/>
    </row>
    <row r="266" spans="1:6" x14ac:dyDescent="0.2">
      <c r="A266" s="211" t="s">
        <v>277</v>
      </c>
      <c r="B266" s="212">
        <v>0.2631</v>
      </c>
      <c r="C266" s="298">
        <f>C265*B266</f>
        <v>63.662306999999998</v>
      </c>
      <c r="D266" s="452"/>
      <c r="E266" s="452"/>
      <c r="F266" s="452"/>
    </row>
    <row r="267" spans="1:6" x14ac:dyDescent="0.2">
      <c r="A267" s="211" t="s">
        <v>278</v>
      </c>
      <c r="B267" s="453">
        <f>C265+C266</f>
        <v>305.63230699999997</v>
      </c>
      <c r="C267" s="453"/>
      <c r="D267" s="452"/>
      <c r="E267" s="452"/>
      <c r="F267" s="452"/>
    </row>
    <row r="268" spans="1:6" x14ac:dyDescent="0.2">
      <c r="A268" s="454"/>
      <c r="B268" s="455"/>
      <c r="C268" s="455"/>
      <c r="D268" s="455"/>
      <c r="E268" s="455"/>
      <c r="F268" s="456"/>
    </row>
    <row r="269" spans="1:6" ht="30" customHeight="1" x14ac:dyDescent="0.2">
      <c r="A269" s="480" t="s">
        <v>179</v>
      </c>
      <c r="B269" s="481"/>
      <c r="C269" s="481"/>
      <c r="D269" s="482"/>
      <c r="E269" s="201" t="s">
        <v>346</v>
      </c>
      <c r="F269" s="202" t="s">
        <v>32</v>
      </c>
    </row>
    <row r="270" spans="1:6" x14ac:dyDescent="0.2">
      <c r="A270" s="317" t="s">
        <v>262</v>
      </c>
      <c r="B270" s="317" t="s">
        <v>254</v>
      </c>
      <c r="C270" s="317" t="s">
        <v>255</v>
      </c>
      <c r="D270" s="203" t="s">
        <v>256</v>
      </c>
      <c r="E270" s="204" t="s">
        <v>257</v>
      </c>
      <c r="F270" s="204" t="s">
        <v>258</v>
      </c>
    </row>
    <row r="271" spans="1:6" ht="25.5" x14ac:dyDescent="0.2">
      <c r="A271" s="208" t="s">
        <v>355</v>
      </c>
      <c r="B271" s="318" t="s">
        <v>32</v>
      </c>
      <c r="C271" s="217" t="s">
        <v>356</v>
      </c>
      <c r="D271" s="206">
        <v>1</v>
      </c>
      <c r="E271" s="207">
        <v>227.12</v>
      </c>
      <c r="F271" s="207">
        <f>TRUNC(E271*D271,2)</f>
        <v>227.12</v>
      </c>
    </row>
    <row r="272" spans="1:6" x14ac:dyDescent="0.2">
      <c r="A272" s="475" t="s">
        <v>261</v>
      </c>
      <c r="B272" s="476"/>
      <c r="C272" s="476"/>
      <c r="D272" s="476"/>
      <c r="E272" s="476"/>
      <c r="F272" s="207">
        <f>SUM(F271:F271)</f>
        <v>227.12</v>
      </c>
    </row>
    <row r="273" spans="1:6" x14ac:dyDescent="0.2">
      <c r="A273" s="450"/>
      <c r="B273" s="450"/>
      <c r="C273" s="450"/>
      <c r="D273" s="450"/>
      <c r="E273" s="450"/>
      <c r="F273" s="450"/>
    </row>
    <row r="274" spans="1:6" x14ac:dyDescent="0.2">
      <c r="A274" s="451" t="s">
        <v>265</v>
      </c>
      <c r="B274" s="451"/>
      <c r="C274" s="451"/>
      <c r="D274" s="451"/>
      <c r="E274" s="451"/>
      <c r="F274" s="451"/>
    </row>
    <row r="275" spans="1:6" x14ac:dyDescent="0.2">
      <c r="A275" s="317" t="s">
        <v>266</v>
      </c>
      <c r="B275" s="317" t="s">
        <v>267</v>
      </c>
      <c r="C275" s="317" t="s">
        <v>268</v>
      </c>
      <c r="D275" s="452" t="s">
        <v>353</v>
      </c>
      <c r="E275" s="452"/>
      <c r="F275" s="452"/>
    </row>
    <row r="276" spans="1:6" x14ac:dyDescent="0.2">
      <c r="A276" s="211" t="s">
        <v>270</v>
      </c>
      <c r="B276" s="212"/>
      <c r="C276" s="298">
        <v>0</v>
      </c>
      <c r="D276" s="452"/>
      <c r="E276" s="452"/>
      <c r="F276" s="452"/>
    </row>
    <row r="277" spans="1:6" x14ac:dyDescent="0.2">
      <c r="A277" s="211" t="s">
        <v>271</v>
      </c>
      <c r="B277" s="213"/>
      <c r="C277" s="298">
        <f>F272</f>
        <v>227.12</v>
      </c>
      <c r="D277" s="452"/>
      <c r="E277" s="452"/>
      <c r="F277" s="452"/>
    </row>
    <row r="278" spans="1:6" x14ac:dyDescent="0.2">
      <c r="A278" s="211" t="s">
        <v>272</v>
      </c>
      <c r="B278" s="211"/>
      <c r="C278" s="298">
        <v>0</v>
      </c>
      <c r="D278" s="452"/>
      <c r="E278" s="452"/>
      <c r="F278" s="452"/>
    </row>
    <row r="279" spans="1:6" x14ac:dyDescent="0.2">
      <c r="A279" s="211" t="s">
        <v>273</v>
      </c>
      <c r="B279" s="211"/>
      <c r="C279" s="298">
        <v>1</v>
      </c>
      <c r="D279" s="452"/>
      <c r="E279" s="452"/>
      <c r="F279" s="452"/>
    </row>
    <row r="280" spans="1:6" x14ac:dyDescent="0.2">
      <c r="A280" s="211" t="s">
        <v>274</v>
      </c>
      <c r="B280" s="211"/>
      <c r="C280" s="298">
        <f>C276+C278</f>
        <v>0</v>
      </c>
      <c r="D280" s="452"/>
      <c r="E280" s="452"/>
      <c r="F280" s="452"/>
    </row>
    <row r="281" spans="1:6" x14ac:dyDescent="0.2">
      <c r="A281" s="211" t="s">
        <v>275</v>
      </c>
      <c r="B281" s="211"/>
      <c r="C281" s="298">
        <f>(C276+C278)/C279</f>
        <v>0</v>
      </c>
      <c r="D281" s="452"/>
      <c r="E281" s="452"/>
      <c r="F281" s="452"/>
    </row>
    <row r="282" spans="1:6" x14ac:dyDescent="0.2">
      <c r="A282" s="211" t="s">
        <v>276</v>
      </c>
      <c r="B282" s="211"/>
      <c r="C282" s="298">
        <f>C277+C281</f>
        <v>227.12</v>
      </c>
      <c r="D282" s="452"/>
      <c r="E282" s="452"/>
      <c r="F282" s="452"/>
    </row>
    <row r="283" spans="1:6" x14ac:dyDescent="0.2">
      <c r="A283" s="211" t="s">
        <v>277</v>
      </c>
      <c r="B283" s="212">
        <v>0.2631</v>
      </c>
      <c r="C283" s="298">
        <f>C282*B283</f>
        <v>59.755271999999998</v>
      </c>
      <c r="D283" s="452"/>
      <c r="E283" s="452"/>
      <c r="F283" s="452"/>
    </row>
    <row r="284" spans="1:6" x14ac:dyDescent="0.2">
      <c r="A284" s="211" t="s">
        <v>278</v>
      </c>
      <c r="B284" s="453">
        <f>C282+C283</f>
        <v>286.875272</v>
      </c>
      <c r="C284" s="453"/>
      <c r="D284" s="452"/>
      <c r="E284" s="452"/>
      <c r="F284" s="452"/>
    </row>
    <row r="285" spans="1:6" x14ac:dyDescent="0.2">
      <c r="A285" s="454"/>
      <c r="B285" s="455"/>
      <c r="C285" s="455"/>
      <c r="D285" s="455"/>
      <c r="E285" s="455"/>
      <c r="F285" s="456"/>
    </row>
    <row r="286" spans="1:6" ht="29.25" customHeight="1" x14ac:dyDescent="0.2">
      <c r="A286" s="480" t="s">
        <v>176</v>
      </c>
      <c r="B286" s="481"/>
      <c r="C286" s="481"/>
      <c r="D286" s="482"/>
      <c r="E286" s="201" t="s">
        <v>350</v>
      </c>
      <c r="F286" s="202" t="s">
        <v>32</v>
      </c>
    </row>
    <row r="287" spans="1:6" x14ac:dyDescent="0.2">
      <c r="A287" s="317" t="s">
        <v>262</v>
      </c>
      <c r="B287" s="317" t="s">
        <v>254</v>
      </c>
      <c r="C287" s="317" t="s">
        <v>255</v>
      </c>
      <c r="D287" s="203" t="s">
        <v>256</v>
      </c>
      <c r="E287" s="204" t="s">
        <v>257</v>
      </c>
      <c r="F287" s="204" t="s">
        <v>258</v>
      </c>
    </row>
    <row r="288" spans="1:6" ht="25.5" x14ac:dyDescent="0.2">
      <c r="A288" s="208" t="s">
        <v>358</v>
      </c>
      <c r="B288" s="318" t="s">
        <v>32</v>
      </c>
      <c r="C288" s="217" t="s">
        <v>359</v>
      </c>
      <c r="D288" s="206">
        <v>1</v>
      </c>
      <c r="E288" s="207">
        <v>186.84</v>
      </c>
      <c r="F288" s="207">
        <f>TRUNC(E288*D288,2)</f>
        <v>186.84</v>
      </c>
    </row>
    <row r="289" spans="1:6" x14ac:dyDescent="0.2">
      <c r="A289" s="475" t="s">
        <v>261</v>
      </c>
      <c r="B289" s="476"/>
      <c r="C289" s="476"/>
      <c r="D289" s="476"/>
      <c r="E289" s="476"/>
      <c r="F289" s="207">
        <f>SUM(F288:F288)</f>
        <v>186.84</v>
      </c>
    </row>
    <row r="290" spans="1:6" x14ac:dyDescent="0.2">
      <c r="A290" s="450"/>
      <c r="B290" s="450"/>
      <c r="C290" s="450"/>
      <c r="D290" s="450"/>
      <c r="E290" s="450"/>
      <c r="F290" s="450"/>
    </row>
    <row r="291" spans="1:6" x14ac:dyDescent="0.2">
      <c r="A291" s="451" t="s">
        <v>265</v>
      </c>
      <c r="B291" s="451"/>
      <c r="C291" s="451"/>
      <c r="D291" s="451"/>
      <c r="E291" s="451"/>
      <c r="F291" s="451"/>
    </row>
    <row r="292" spans="1:6" x14ac:dyDescent="0.2">
      <c r="A292" s="317" t="s">
        <v>266</v>
      </c>
      <c r="B292" s="317" t="s">
        <v>267</v>
      </c>
      <c r="C292" s="317" t="s">
        <v>268</v>
      </c>
      <c r="D292" s="452" t="s">
        <v>353</v>
      </c>
      <c r="E292" s="452"/>
      <c r="F292" s="452"/>
    </row>
    <row r="293" spans="1:6" x14ac:dyDescent="0.2">
      <c r="A293" s="211" t="s">
        <v>270</v>
      </c>
      <c r="B293" s="212"/>
      <c r="C293" s="304">
        <v>0</v>
      </c>
      <c r="D293" s="452"/>
      <c r="E293" s="452"/>
      <c r="F293" s="452"/>
    </row>
    <row r="294" spans="1:6" x14ac:dyDescent="0.2">
      <c r="A294" s="211" t="s">
        <v>271</v>
      </c>
      <c r="B294" s="213"/>
      <c r="C294" s="298">
        <f>F289</f>
        <v>186.84</v>
      </c>
      <c r="D294" s="452"/>
      <c r="E294" s="452"/>
      <c r="F294" s="452"/>
    </row>
    <row r="295" spans="1:6" x14ac:dyDescent="0.2">
      <c r="A295" s="211" t="s">
        <v>272</v>
      </c>
      <c r="B295" s="211"/>
      <c r="C295" s="298">
        <v>0</v>
      </c>
      <c r="D295" s="452"/>
      <c r="E295" s="452"/>
      <c r="F295" s="452"/>
    </row>
    <row r="296" spans="1:6" x14ac:dyDescent="0.2">
      <c r="A296" s="211" t="s">
        <v>273</v>
      </c>
      <c r="B296" s="211"/>
      <c r="C296" s="298">
        <v>1</v>
      </c>
      <c r="D296" s="452"/>
      <c r="E296" s="452"/>
      <c r="F296" s="452"/>
    </row>
    <row r="297" spans="1:6" x14ac:dyDescent="0.2">
      <c r="A297" s="211" t="s">
        <v>274</v>
      </c>
      <c r="B297" s="211"/>
      <c r="C297" s="298">
        <f>C293+C295</f>
        <v>0</v>
      </c>
      <c r="D297" s="452"/>
      <c r="E297" s="452"/>
      <c r="F297" s="452"/>
    </row>
    <row r="298" spans="1:6" x14ac:dyDescent="0.2">
      <c r="A298" s="211" t="s">
        <v>275</v>
      </c>
      <c r="B298" s="211"/>
      <c r="C298" s="298">
        <f>(C293+C295)/C296</f>
        <v>0</v>
      </c>
      <c r="D298" s="452"/>
      <c r="E298" s="452"/>
      <c r="F298" s="452"/>
    </row>
    <row r="299" spans="1:6" x14ac:dyDescent="0.2">
      <c r="A299" s="211" t="s">
        <v>276</v>
      </c>
      <c r="B299" s="211"/>
      <c r="C299" s="298">
        <f>C294+C298</f>
        <v>186.84</v>
      </c>
      <c r="D299" s="452"/>
      <c r="E299" s="452"/>
      <c r="F299" s="452"/>
    </row>
    <row r="300" spans="1:6" x14ac:dyDescent="0.2">
      <c r="A300" s="211" t="s">
        <v>277</v>
      </c>
      <c r="B300" s="212">
        <v>0.2631</v>
      </c>
      <c r="C300" s="298">
        <f>C299*B300</f>
        <v>49.157603999999999</v>
      </c>
      <c r="D300" s="452"/>
      <c r="E300" s="452"/>
      <c r="F300" s="452"/>
    </row>
    <row r="301" spans="1:6" x14ac:dyDescent="0.2">
      <c r="A301" s="211" t="s">
        <v>278</v>
      </c>
      <c r="B301" s="453">
        <f>C299+C300</f>
        <v>235.997604</v>
      </c>
      <c r="C301" s="453"/>
      <c r="D301" s="452"/>
      <c r="E301" s="452"/>
      <c r="F301" s="452"/>
    </row>
    <row r="302" spans="1:6" x14ac:dyDescent="0.2">
      <c r="A302" s="454"/>
      <c r="B302" s="455"/>
      <c r="C302" s="455"/>
      <c r="D302" s="455"/>
      <c r="E302" s="455"/>
      <c r="F302" s="456"/>
    </row>
    <row r="303" spans="1:6" ht="43.5" customHeight="1" x14ac:dyDescent="0.2">
      <c r="A303" s="471" t="s">
        <v>98</v>
      </c>
      <c r="B303" s="472"/>
      <c r="C303" s="472"/>
      <c r="D303" s="473"/>
      <c r="E303" s="201" t="s">
        <v>354</v>
      </c>
      <c r="F303" s="202" t="s">
        <v>22</v>
      </c>
    </row>
    <row r="304" spans="1:6" x14ac:dyDescent="0.2">
      <c r="A304" s="317" t="s">
        <v>253</v>
      </c>
      <c r="B304" s="317" t="s">
        <v>254</v>
      </c>
      <c r="C304" s="317" t="s">
        <v>255</v>
      </c>
      <c r="D304" s="203" t="s">
        <v>256</v>
      </c>
      <c r="E304" s="204" t="s">
        <v>257</v>
      </c>
      <c r="F304" s="204" t="s">
        <v>258</v>
      </c>
    </row>
    <row r="305" spans="1:6" x14ac:dyDescent="0.2">
      <c r="A305" s="219" t="s">
        <v>361</v>
      </c>
      <c r="B305" s="318" t="s">
        <v>260</v>
      </c>
      <c r="C305" s="205" t="s">
        <v>362</v>
      </c>
      <c r="D305" s="206">
        <v>0.22</v>
      </c>
      <c r="E305" s="207">
        <v>19.79</v>
      </c>
      <c r="F305" s="207">
        <f>TRUNC(D305*E305,2)</f>
        <v>4.3499999999999996</v>
      </c>
    </row>
    <row r="306" spans="1:6" x14ac:dyDescent="0.2">
      <c r="A306" s="219" t="s">
        <v>331</v>
      </c>
      <c r="B306" s="318" t="s">
        <v>260</v>
      </c>
      <c r="C306" s="205" t="s">
        <v>332</v>
      </c>
      <c r="D306" s="206">
        <v>0.5</v>
      </c>
      <c r="E306" s="207">
        <v>19.93</v>
      </c>
      <c r="F306" s="207">
        <f t="shared" ref="F306:F307" si="1">TRUNC(D306*E306,2)</f>
        <v>9.9600000000000009</v>
      </c>
    </row>
    <row r="307" spans="1:6" x14ac:dyDescent="0.2">
      <c r="A307" s="330" t="s">
        <v>314</v>
      </c>
      <c r="B307" s="318" t="s">
        <v>260</v>
      </c>
      <c r="C307" s="205" t="s">
        <v>363</v>
      </c>
      <c r="D307" s="206">
        <v>0.75</v>
      </c>
      <c r="E307" s="207">
        <v>14.27</v>
      </c>
      <c r="F307" s="207">
        <f t="shared" si="1"/>
        <v>10.7</v>
      </c>
    </row>
    <row r="308" spans="1:6" x14ac:dyDescent="0.2">
      <c r="A308" s="475" t="s">
        <v>261</v>
      </c>
      <c r="B308" s="476"/>
      <c r="C308" s="476"/>
      <c r="D308" s="476"/>
      <c r="E308" s="476"/>
      <c r="F308" s="207">
        <f>SUM(F305:F307)</f>
        <v>25.009999999999998</v>
      </c>
    </row>
    <row r="309" spans="1:6" x14ac:dyDescent="0.2">
      <c r="A309" s="477"/>
      <c r="B309" s="478"/>
      <c r="C309" s="478"/>
      <c r="D309" s="478"/>
      <c r="E309" s="478"/>
      <c r="F309" s="479"/>
    </row>
    <row r="310" spans="1:6" x14ac:dyDescent="0.2">
      <c r="A310" s="317" t="s">
        <v>262</v>
      </c>
      <c r="B310" s="317" t="s">
        <v>254</v>
      </c>
      <c r="C310" s="317" t="s">
        <v>255</v>
      </c>
      <c r="D310" s="203" t="s">
        <v>256</v>
      </c>
      <c r="E310" s="204" t="s">
        <v>257</v>
      </c>
      <c r="F310" s="204" t="s">
        <v>258</v>
      </c>
    </row>
    <row r="311" spans="1:6" ht="25.5" x14ac:dyDescent="0.2">
      <c r="A311" s="214" t="s">
        <v>750</v>
      </c>
      <c r="B311" s="318" t="s">
        <v>62</v>
      </c>
      <c r="C311" s="218" t="s">
        <v>751</v>
      </c>
      <c r="D311" s="206">
        <v>0.03</v>
      </c>
      <c r="E311" s="207">
        <v>12.72</v>
      </c>
      <c r="F311" s="207">
        <f>TRUNC(D311*E311,2)</f>
        <v>0.38</v>
      </c>
    </row>
    <row r="312" spans="1:6" ht="25.5" x14ac:dyDescent="0.2">
      <c r="A312" s="55" t="s">
        <v>364</v>
      </c>
      <c r="B312" s="318" t="s">
        <v>18</v>
      </c>
      <c r="C312" s="217" t="s">
        <v>752</v>
      </c>
      <c r="D312" s="206">
        <v>0.33</v>
      </c>
      <c r="E312" s="207">
        <v>27.31</v>
      </c>
      <c r="F312" s="207">
        <f t="shared" ref="F312:F316" si="2">TRUNC(D312*E312,2)</f>
        <v>9.01</v>
      </c>
    </row>
    <row r="313" spans="1:6" x14ac:dyDescent="0.2">
      <c r="A313" s="55" t="s">
        <v>365</v>
      </c>
      <c r="B313" s="318" t="s">
        <v>62</v>
      </c>
      <c r="C313" s="217" t="s">
        <v>753</v>
      </c>
      <c r="D313" s="206">
        <v>0.03</v>
      </c>
      <c r="E313" s="207">
        <v>12</v>
      </c>
      <c r="F313" s="207">
        <f t="shared" si="2"/>
        <v>0.36</v>
      </c>
    </row>
    <row r="314" spans="1:6" ht="25.5" x14ac:dyDescent="0.2">
      <c r="A314" s="55" t="s">
        <v>366</v>
      </c>
      <c r="B314" s="318" t="s">
        <v>22</v>
      </c>
      <c r="C314" s="217" t="s">
        <v>754</v>
      </c>
      <c r="D314" s="206">
        <v>0.22</v>
      </c>
      <c r="E314" s="207">
        <v>13.24</v>
      </c>
      <c r="F314" s="207">
        <f t="shared" si="2"/>
        <v>2.91</v>
      </c>
    </row>
    <row r="315" spans="1:6" ht="25.5" x14ac:dyDescent="0.2">
      <c r="A315" s="216" t="s">
        <v>367</v>
      </c>
      <c r="B315" s="318" t="s">
        <v>22</v>
      </c>
      <c r="C315" s="217" t="s">
        <v>755</v>
      </c>
      <c r="D315" s="206">
        <v>0.3</v>
      </c>
      <c r="E315" s="207">
        <v>4.16</v>
      </c>
      <c r="F315" s="207">
        <f t="shared" si="2"/>
        <v>1.24</v>
      </c>
    </row>
    <row r="316" spans="1:6" ht="25.5" x14ac:dyDescent="0.2">
      <c r="A316" s="216" t="s">
        <v>368</v>
      </c>
      <c r="B316" s="318" t="s">
        <v>36</v>
      </c>
      <c r="C316" s="217">
        <v>94969</v>
      </c>
      <c r="D316" s="206">
        <v>2.3E-2</v>
      </c>
      <c r="E316" s="207">
        <v>232.48</v>
      </c>
      <c r="F316" s="207">
        <f t="shared" si="2"/>
        <v>5.34</v>
      </c>
    </row>
    <row r="317" spans="1:6" x14ac:dyDescent="0.2">
      <c r="A317" s="475" t="s">
        <v>261</v>
      </c>
      <c r="B317" s="476"/>
      <c r="C317" s="476"/>
      <c r="D317" s="476"/>
      <c r="E317" s="476"/>
      <c r="F317" s="207">
        <f>SUM(F311:F316)</f>
        <v>19.240000000000002</v>
      </c>
    </row>
    <row r="318" spans="1:6" x14ac:dyDescent="0.2">
      <c r="A318" s="454"/>
      <c r="B318" s="455"/>
      <c r="C318" s="455"/>
      <c r="D318" s="455"/>
      <c r="E318" s="455"/>
      <c r="F318" s="456"/>
    </row>
    <row r="319" spans="1:6" x14ac:dyDescent="0.2">
      <c r="A319" s="457" t="s">
        <v>265</v>
      </c>
      <c r="B319" s="458"/>
      <c r="C319" s="458"/>
      <c r="D319" s="458"/>
      <c r="E319" s="458"/>
      <c r="F319" s="459"/>
    </row>
    <row r="320" spans="1:6" x14ac:dyDescent="0.2">
      <c r="A320" s="317" t="s">
        <v>266</v>
      </c>
      <c r="B320" s="317" t="s">
        <v>267</v>
      </c>
      <c r="C320" s="317" t="s">
        <v>268</v>
      </c>
      <c r="D320" s="460" t="s">
        <v>369</v>
      </c>
      <c r="E320" s="461"/>
      <c r="F320" s="462"/>
    </row>
    <row r="321" spans="1:6" x14ac:dyDescent="0.2">
      <c r="A321" s="211" t="s">
        <v>270</v>
      </c>
      <c r="B321" s="212"/>
      <c r="C321" s="298">
        <f>F308</f>
        <v>25.009999999999998</v>
      </c>
      <c r="D321" s="463"/>
      <c r="E321" s="464"/>
      <c r="F321" s="465"/>
    </row>
    <row r="322" spans="1:6" x14ac:dyDescent="0.2">
      <c r="A322" s="211" t="s">
        <v>271</v>
      </c>
      <c r="B322" s="213"/>
      <c r="C322" s="298">
        <f>F317</f>
        <v>19.240000000000002</v>
      </c>
      <c r="D322" s="463"/>
      <c r="E322" s="464"/>
      <c r="F322" s="465"/>
    </row>
    <row r="323" spans="1:6" x14ac:dyDescent="0.2">
      <c r="A323" s="211" t="s">
        <v>272</v>
      </c>
      <c r="B323" s="211"/>
      <c r="C323" s="298">
        <v>0</v>
      </c>
      <c r="D323" s="463"/>
      <c r="E323" s="464"/>
      <c r="F323" s="465"/>
    </row>
    <row r="324" spans="1:6" x14ac:dyDescent="0.2">
      <c r="A324" s="211" t="s">
        <v>273</v>
      </c>
      <c r="B324" s="211"/>
      <c r="C324" s="298">
        <v>1</v>
      </c>
      <c r="D324" s="463"/>
      <c r="E324" s="464"/>
      <c r="F324" s="465"/>
    </row>
    <row r="325" spans="1:6" x14ac:dyDescent="0.2">
      <c r="A325" s="211" t="s">
        <v>274</v>
      </c>
      <c r="B325" s="211"/>
      <c r="C325" s="298">
        <f>C321+C323</f>
        <v>25.009999999999998</v>
      </c>
      <c r="D325" s="463"/>
      <c r="E325" s="464"/>
      <c r="F325" s="465"/>
    </row>
    <row r="326" spans="1:6" x14ac:dyDescent="0.2">
      <c r="A326" s="211" t="s">
        <v>275</v>
      </c>
      <c r="B326" s="211"/>
      <c r="C326" s="298">
        <f>(C321+C323)/C324</f>
        <v>25.009999999999998</v>
      </c>
      <c r="D326" s="463"/>
      <c r="E326" s="464"/>
      <c r="F326" s="465"/>
    </row>
    <row r="327" spans="1:6" x14ac:dyDescent="0.2">
      <c r="A327" s="211" t="s">
        <v>276</v>
      </c>
      <c r="B327" s="211"/>
      <c r="C327" s="298">
        <f>C322+C326</f>
        <v>44.25</v>
      </c>
      <c r="D327" s="463"/>
      <c r="E327" s="464"/>
      <c r="F327" s="465"/>
    </row>
    <row r="328" spans="1:6" x14ac:dyDescent="0.2">
      <c r="A328" s="211" t="s">
        <v>277</v>
      </c>
      <c r="B328" s="212">
        <v>0.2631</v>
      </c>
      <c r="C328" s="298">
        <f>C327*B328</f>
        <v>11.642175</v>
      </c>
      <c r="D328" s="463"/>
      <c r="E328" s="464"/>
      <c r="F328" s="465"/>
    </row>
    <row r="329" spans="1:6" x14ac:dyDescent="0.2">
      <c r="A329" s="211" t="s">
        <v>278</v>
      </c>
      <c r="B329" s="469">
        <f>C327+C328</f>
        <v>55.892175000000002</v>
      </c>
      <c r="C329" s="470"/>
      <c r="D329" s="466"/>
      <c r="E329" s="467"/>
      <c r="F329" s="468"/>
    </row>
    <row r="330" spans="1:6" x14ac:dyDescent="0.2">
      <c r="A330" s="454"/>
      <c r="B330" s="455"/>
      <c r="C330" s="455"/>
      <c r="D330" s="455"/>
      <c r="E330" s="455"/>
      <c r="F330" s="456"/>
    </row>
    <row r="331" spans="1:6" ht="30" customHeight="1" x14ac:dyDescent="0.2">
      <c r="A331" s="471" t="s">
        <v>484</v>
      </c>
      <c r="B331" s="472"/>
      <c r="C331" s="472"/>
      <c r="D331" s="473"/>
      <c r="E331" s="201" t="s">
        <v>357</v>
      </c>
      <c r="F331" s="202" t="s">
        <v>32</v>
      </c>
    </row>
    <row r="332" spans="1:6" x14ac:dyDescent="0.2">
      <c r="A332" s="317" t="s">
        <v>253</v>
      </c>
      <c r="B332" s="317" t="s">
        <v>254</v>
      </c>
      <c r="C332" s="317" t="s">
        <v>255</v>
      </c>
      <c r="D332" s="203" t="s">
        <v>256</v>
      </c>
      <c r="E332" s="204" t="s">
        <v>257</v>
      </c>
      <c r="F332" s="204" t="s">
        <v>258</v>
      </c>
    </row>
    <row r="333" spans="1:6" x14ac:dyDescent="0.2">
      <c r="A333" s="195" t="s">
        <v>481</v>
      </c>
      <c r="B333" s="318" t="s">
        <v>260</v>
      </c>
      <c r="C333" s="218" t="s">
        <v>482</v>
      </c>
      <c r="D333" s="206">
        <v>1</v>
      </c>
      <c r="E333" s="207">
        <v>6.72</v>
      </c>
      <c r="F333" s="207">
        <f>TRUNC(E333*D333,2)</f>
        <v>6.72</v>
      </c>
    </row>
    <row r="334" spans="1:6" x14ac:dyDescent="0.2">
      <c r="A334" s="449" t="s">
        <v>261</v>
      </c>
      <c r="B334" s="449"/>
      <c r="C334" s="449"/>
      <c r="D334" s="449"/>
      <c r="E334" s="449"/>
      <c r="F334" s="207">
        <f>SUM(F333:F333)</f>
        <v>6.72</v>
      </c>
    </row>
    <row r="335" spans="1:6" x14ac:dyDescent="0.2">
      <c r="A335" s="474" t="s">
        <v>305</v>
      </c>
      <c r="B335" s="474"/>
      <c r="C335" s="474"/>
      <c r="D335" s="474"/>
      <c r="E335" s="474"/>
      <c r="F335" s="474"/>
    </row>
    <row r="336" spans="1:6" x14ac:dyDescent="0.2">
      <c r="A336" s="317" t="s">
        <v>262</v>
      </c>
      <c r="B336" s="317" t="s">
        <v>254</v>
      </c>
      <c r="C336" s="317" t="s">
        <v>255</v>
      </c>
      <c r="D336" s="203" t="s">
        <v>256</v>
      </c>
      <c r="E336" s="204" t="s">
        <v>257</v>
      </c>
      <c r="F336" s="204" t="s">
        <v>258</v>
      </c>
    </row>
    <row r="337" spans="1:6" ht="25.5" x14ac:dyDescent="0.2">
      <c r="A337" s="208" t="s">
        <v>148</v>
      </c>
      <c r="B337" s="318" t="s">
        <v>32</v>
      </c>
      <c r="C337" s="217" t="s">
        <v>478</v>
      </c>
      <c r="D337" s="206">
        <v>1.83</v>
      </c>
      <c r="E337" s="207">
        <v>924.87</v>
      </c>
      <c r="F337" s="207">
        <f>TRUNC(E337*D337,2)</f>
        <v>1692.51</v>
      </c>
    </row>
    <row r="338" spans="1:6" x14ac:dyDescent="0.2">
      <c r="A338" s="208" t="s">
        <v>479</v>
      </c>
      <c r="B338" s="318" t="s">
        <v>32</v>
      </c>
      <c r="C338" s="217" t="s">
        <v>480</v>
      </c>
      <c r="D338" s="206">
        <v>1</v>
      </c>
      <c r="E338" s="207">
        <v>141.68</v>
      </c>
      <c r="F338" s="207">
        <f>TRUNC(E338*D338,2)</f>
        <v>141.68</v>
      </c>
    </row>
    <row r="339" spans="1:6" x14ac:dyDescent="0.2">
      <c r="A339" s="449" t="s">
        <v>261</v>
      </c>
      <c r="B339" s="449"/>
      <c r="C339" s="449"/>
      <c r="D339" s="449"/>
      <c r="E339" s="449"/>
      <c r="F339" s="207">
        <f>SUM(F337:F338)</f>
        <v>1834.19</v>
      </c>
    </row>
    <row r="340" spans="1:6" x14ac:dyDescent="0.2">
      <c r="A340" s="450"/>
      <c r="B340" s="450"/>
      <c r="C340" s="450"/>
      <c r="D340" s="450"/>
      <c r="E340" s="450"/>
      <c r="F340" s="450"/>
    </row>
    <row r="341" spans="1:6" x14ac:dyDescent="0.2">
      <c r="A341" s="451" t="s">
        <v>265</v>
      </c>
      <c r="B341" s="451"/>
      <c r="C341" s="451"/>
      <c r="D341" s="451"/>
      <c r="E341" s="451"/>
      <c r="F341" s="451"/>
    </row>
    <row r="342" spans="1:6" x14ac:dyDescent="0.2">
      <c r="A342" s="317" t="s">
        <v>266</v>
      </c>
      <c r="B342" s="317" t="s">
        <v>267</v>
      </c>
      <c r="C342" s="317" t="s">
        <v>268</v>
      </c>
      <c r="D342" s="452" t="s">
        <v>483</v>
      </c>
      <c r="E342" s="452"/>
      <c r="F342" s="452"/>
    </row>
    <row r="343" spans="1:6" x14ac:dyDescent="0.2">
      <c r="A343" s="211" t="s">
        <v>270</v>
      </c>
      <c r="B343" s="305"/>
      <c r="C343" s="298">
        <f>F334</f>
        <v>6.72</v>
      </c>
      <c r="D343" s="452"/>
      <c r="E343" s="452"/>
      <c r="F343" s="452"/>
    </row>
    <row r="344" spans="1:6" x14ac:dyDescent="0.2">
      <c r="A344" s="211" t="s">
        <v>271</v>
      </c>
      <c r="B344" s="304"/>
      <c r="C344" s="298">
        <f>F339</f>
        <v>1834.19</v>
      </c>
      <c r="D344" s="452"/>
      <c r="E344" s="452"/>
      <c r="F344" s="452"/>
    </row>
    <row r="345" spans="1:6" x14ac:dyDescent="0.2">
      <c r="A345" s="211" t="s">
        <v>272</v>
      </c>
      <c r="B345" s="195"/>
      <c r="C345" s="298">
        <v>0</v>
      </c>
      <c r="D345" s="452"/>
      <c r="E345" s="452"/>
      <c r="F345" s="452"/>
    </row>
    <row r="346" spans="1:6" x14ac:dyDescent="0.2">
      <c r="A346" s="211" t="s">
        <v>273</v>
      </c>
      <c r="B346" s="195"/>
      <c r="C346" s="298">
        <v>1</v>
      </c>
      <c r="D346" s="452"/>
      <c r="E346" s="452"/>
      <c r="F346" s="452"/>
    </row>
    <row r="347" spans="1:6" x14ac:dyDescent="0.2">
      <c r="A347" s="211" t="s">
        <v>274</v>
      </c>
      <c r="B347" s="195"/>
      <c r="C347" s="298">
        <f>C343+C345</f>
        <v>6.72</v>
      </c>
      <c r="D347" s="452"/>
      <c r="E347" s="452"/>
      <c r="F347" s="452"/>
    </row>
    <row r="348" spans="1:6" x14ac:dyDescent="0.2">
      <c r="A348" s="211" t="s">
        <v>275</v>
      </c>
      <c r="B348" s="195"/>
      <c r="C348" s="298">
        <f>(C343+C345)/C346</f>
        <v>6.72</v>
      </c>
      <c r="D348" s="452"/>
      <c r="E348" s="452"/>
      <c r="F348" s="452"/>
    </row>
    <row r="349" spans="1:6" x14ac:dyDescent="0.2">
      <c r="A349" s="211" t="s">
        <v>276</v>
      </c>
      <c r="B349" s="195"/>
      <c r="C349" s="298">
        <f>C344+C348</f>
        <v>1840.91</v>
      </c>
      <c r="D349" s="452"/>
      <c r="E349" s="452"/>
      <c r="F349" s="452"/>
    </row>
    <row r="350" spans="1:6" x14ac:dyDescent="0.2">
      <c r="A350" s="211" t="s">
        <v>277</v>
      </c>
      <c r="B350" s="305">
        <v>0.2631</v>
      </c>
      <c r="C350" s="298">
        <f>C349*B350</f>
        <v>484.34342100000003</v>
      </c>
      <c r="D350" s="452"/>
      <c r="E350" s="452"/>
      <c r="F350" s="452"/>
    </row>
    <row r="351" spans="1:6" x14ac:dyDescent="0.2">
      <c r="A351" s="211" t="s">
        <v>278</v>
      </c>
      <c r="B351" s="453">
        <f>C349+C350</f>
        <v>2325.2534210000003</v>
      </c>
      <c r="C351" s="453"/>
      <c r="D351" s="452"/>
      <c r="E351" s="452"/>
      <c r="F351" s="452"/>
    </row>
    <row r="352" spans="1:6" ht="14.25" x14ac:dyDescent="0.2">
      <c r="A352" s="490"/>
      <c r="B352" s="491"/>
      <c r="C352" s="491"/>
      <c r="D352" s="491"/>
      <c r="E352" s="491"/>
      <c r="F352" s="492"/>
    </row>
    <row r="353" spans="1:6" x14ac:dyDescent="0.2">
      <c r="A353" s="471" t="s">
        <v>312</v>
      </c>
      <c r="B353" s="472"/>
      <c r="C353" s="472"/>
      <c r="D353" s="473"/>
      <c r="E353" s="301" t="s">
        <v>360</v>
      </c>
      <c r="F353" s="302" t="s">
        <v>32</v>
      </c>
    </row>
    <row r="354" spans="1:6" x14ac:dyDescent="0.2">
      <c r="A354" s="317" t="s">
        <v>253</v>
      </c>
      <c r="B354" s="317" t="s">
        <v>254</v>
      </c>
      <c r="C354" s="317" t="s">
        <v>255</v>
      </c>
      <c r="D354" s="317" t="s">
        <v>256</v>
      </c>
      <c r="E354" s="317" t="s">
        <v>257</v>
      </c>
      <c r="F354" s="317" t="s">
        <v>258</v>
      </c>
    </row>
    <row r="355" spans="1:6" x14ac:dyDescent="0.2">
      <c r="A355" s="195" t="s">
        <v>745</v>
      </c>
      <c r="B355" s="318" t="s">
        <v>260</v>
      </c>
      <c r="C355" s="205" t="s">
        <v>746</v>
      </c>
      <c r="D355" s="285">
        <v>1</v>
      </c>
      <c r="E355" s="207">
        <v>9.1300000000000008</v>
      </c>
      <c r="F355" s="207">
        <f>TRUNC(D355*E355,2)</f>
        <v>9.1300000000000008</v>
      </c>
    </row>
    <row r="356" spans="1:6" x14ac:dyDescent="0.2">
      <c r="A356" s="195" t="s">
        <v>259</v>
      </c>
      <c r="B356" s="318" t="s">
        <v>260</v>
      </c>
      <c r="C356" s="205" t="s">
        <v>747</v>
      </c>
      <c r="D356" s="285">
        <v>2</v>
      </c>
      <c r="E356" s="207">
        <v>14.17</v>
      </c>
      <c r="F356" s="207">
        <f>TRUNC(D356*E356,2)</f>
        <v>28.34</v>
      </c>
    </row>
    <row r="357" spans="1:6" x14ac:dyDescent="0.2">
      <c r="A357" s="475" t="s">
        <v>261</v>
      </c>
      <c r="B357" s="476"/>
      <c r="C357" s="476"/>
      <c r="D357" s="476"/>
      <c r="E357" s="476"/>
      <c r="F357" s="207">
        <f>SUM(F355:F356)</f>
        <v>37.47</v>
      </c>
    </row>
    <row r="358" spans="1:6" x14ac:dyDescent="0.2">
      <c r="A358" s="477"/>
      <c r="B358" s="478"/>
      <c r="C358" s="478"/>
      <c r="D358" s="478"/>
      <c r="E358" s="478"/>
      <c r="F358" s="479"/>
    </row>
    <row r="359" spans="1:6" x14ac:dyDescent="0.2">
      <c r="A359" s="317" t="s">
        <v>262</v>
      </c>
      <c r="B359" s="317" t="s">
        <v>254</v>
      </c>
      <c r="C359" s="317" t="s">
        <v>255</v>
      </c>
      <c r="D359" s="317" t="s">
        <v>256</v>
      </c>
      <c r="E359" s="317" t="s">
        <v>257</v>
      </c>
      <c r="F359" s="317" t="s">
        <v>258</v>
      </c>
    </row>
    <row r="360" spans="1:6" ht="25.5" x14ac:dyDescent="0.2">
      <c r="A360" s="216" t="s">
        <v>316</v>
      </c>
      <c r="B360" s="318" t="s">
        <v>36</v>
      </c>
      <c r="C360" s="217">
        <v>93358</v>
      </c>
      <c r="D360" s="285">
        <f>0.5*0.5*0.5</f>
        <v>0.125</v>
      </c>
      <c r="E360" s="207">
        <v>56.45</v>
      </c>
      <c r="F360" s="207">
        <f>TRUNC(D360*E360,2)</f>
        <v>7.05</v>
      </c>
    </row>
    <row r="361" spans="1:6" x14ac:dyDescent="0.2">
      <c r="A361" s="303" t="s">
        <v>317</v>
      </c>
      <c r="B361" s="318" t="s">
        <v>36</v>
      </c>
      <c r="C361" s="217">
        <v>96995</v>
      </c>
      <c r="D361" s="285">
        <v>0.125</v>
      </c>
      <c r="E361" s="207">
        <v>34.22</v>
      </c>
      <c r="F361" s="207">
        <f>TRUNC(D361*E361,2)</f>
        <v>4.2699999999999996</v>
      </c>
    </row>
    <row r="362" spans="1:6" x14ac:dyDescent="0.2">
      <c r="A362" s="216" t="s">
        <v>318</v>
      </c>
      <c r="B362" s="318" t="s">
        <v>18</v>
      </c>
      <c r="C362" s="217">
        <v>98520</v>
      </c>
      <c r="D362" s="285">
        <f>0.25*0.25</f>
        <v>6.25E-2</v>
      </c>
      <c r="E362" s="207">
        <v>4.34</v>
      </c>
      <c r="F362" s="207">
        <f>TRUNC(D362*E362,2)</f>
        <v>0.27</v>
      </c>
    </row>
    <row r="363" spans="1:6" x14ac:dyDescent="0.2">
      <c r="A363" s="475" t="s">
        <v>261</v>
      </c>
      <c r="B363" s="476"/>
      <c r="C363" s="476"/>
      <c r="D363" s="476"/>
      <c r="E363" s="476"/>
      <c r="F363" s="207">
        <f>SUM(F360:F362)</f>
        <v>11.59</v>
      </c>
    </row>
    <row r="364" spans="1:6" x14ac:dyDescent="0.2">
      <c r="A364" s="454"/>
      <c r="B364" s="455"/>
      <c r="C364" s="455"/>
      <c r="D364" s="455"/>
      <c r="E364" s="455"/>
      <c r="F364" s="456"/>
    </row>
    <row r="365" spans="1:6" x14ac:dyDescent="0.2">
      <c r="A365" s="457" t="s">
        <v>265</v>
      </c>
      <c r="B365" s="458"/>
      <c r="C365" s="458"/>
      <c r="D365" s="458"/>
      <c r="E365" s="458"/>
      <c r="F365" s="459"/>
    </row>
    <row r="366" spans="1:6" x14ac:dyDescent="0.2">
      <c r="A366" s="317" t="s">
        <v>266</v>
      </c>
      <c r="B366" s="317" t="s">
        <v>267</v>
      </c>
      <c r="C366" s="317" t="s">
        <v>268</v>
      </c>
      <c r="D366" s="493" t="s">
        <v>319</v>
      </c>
      <c r="E366" s="494"/>
      <c r="F366" s="495"/>
    </row>
    <row r="367" spans="1:6" x14ac:dyDescent="0.2">
      <c r="A367" s="211" t="s">
        <v>270</v>
      </c>
      <c r="B367" s="212"/>
      <c r="C367" s="298">
        <f>F357</f>
        <v>37.47</v>
      </c>
      <c r="D367" s="496"/>
      <c r="E367" s="497"/>
      <c r="F367" s="498"/>
    </row>
    <row r="368" spans="1:6" x14ac:dyDescent="0.2">
      <c r="A368" s="211" t="s">
        <v>271</v>
      </c>
      <c r="B368" s="213"/>
      <c r="C368" s="298">
        <f>F363</f>
        <v>11.59</v>
      </c>
      <c r="D368" s="496"/>
      <c r="E368" s="497"/>
      <c r="F368" s="498"/>
    </row>
    <row r="369" spans="1:6" x14ac:dyDescent="0.2">
      <c r="A369" s="211" t="s">
        <v>272</v>
      </c>
      <c r="B369" s="211"/>
      <c r="C369" s="298">
        <v>0</v>
      </c>
      <c r="D369" s="496"/>
      <c r="E369" s="497"/>
      <c r="F369" s="498"/>
    </row>
    <row r="370" spans="1:6" x14ac:dyDescent="0.2">
      <c r="A370" s="211" t="s">
        <v>273</v>
      </c>
      <c r="B370" s="211"/>
      <c r="C370" s="298">
        <v>1</v>
      </c>
      <c r="D370" s="496"/>
      <c r="E370" s="497"/>
      <c r="F370" s="498"/>
    </row>
    <row r="371" spans="1:6" x14ac:dyDescent="0.2">
      <c r="A371" s="211" t="s">
        <v>274</v>
      </c>
      <c r="B371" s="211"/>
      <c r="C371" s="298">
        <f>C367+C369</f>
        <v>37.47</v>
      </c>
      <c r="D371" s="496"/>
      <c r="E371" s="497"/>
      <c r="F371" s="498"/>
    </row>
    <row r="372" spans="1:6" x14ac:dyDescent="0.2">
      <c r="A372" s="211" t="s">
        <v>275</v>
      </c>
      <c r="B372" s="211"/>
      <c r="C372" s="298">
        <f>(C367+C369)/C370</f>
        <v>37.47</v>
      </c>
      <c r="D372" s="496"/>
      <c r="E372" s="497"/>
      <c r="F372" s="498"/>
    </row>
    <row r="373" spans="1:6" x14ac:dyDescent="0.2">
      <c r="A373" s="211" t="s">
        <v>276</v>
      </c>
      <c r="B373" s="211"/>
      <c r="C373" s="298">
        <f>C368+C372</f>
        <v>49.06</v>
      </c>
      <c r="D373" s="496"/>
      <c r="E373" s="497"/>
      <c r="F373" s="498"/>
    </row>
    <row r="374" spans="1:6" x14ac:dyDescent="0.2">
      <c r="A374" s="211" t="s">
        <v>277</v>
      </c>
      <c r="B374" s="305">
        <v>0.2631</v>
      </c>
      <c r="C374" s="298">
        <f>C373*B374</f>
        <v>12.907686</v>
      </c>
      <c r="D374" s="496"/>
      <c r="E374" s="497"/>
      <c r="F374" s="498"/>
    </row>
    <row r="375" spans="1:6" x14ac:dyDescent="0.2">
      <c r="A375" s="211" t="s">
        <v>278</v>
      </c>
      <c r="B375" s="469">
        <f>C373+C374</f>
        <v>61.967686</v>
      </c>
      <c r="C375" s="470"/>
      <c r="D375" s="499"/>
      <c r="E375" s="500"/>
      <c r="F375" s="501"/>
    </row>
  </sheetData>
  <mergeCells count="150">
    <mergeCell ref="A352:F352"/>
    <mergeCell ref="A353:D353"/>
    <mergeCell ref="A357:E357"/>
    <mergeCell ref="A358:F358"/>
    <mergeCell ref="A363:E363"/>
    <mergeCell ref="A364:F364"/>
    <mergeCell ref="A365:F365"/>
    <mergeCell ref="D366:F375"/>
    <mergeCell ref="B375:C375"/>
    <mergeCell ref="A1:E1"/>
    <mergeCell ref="A2:D2"/>
    <mergeCell ref="E2:F2"/>
    <mergeCell ref="A3:D3"/>
    <mergeCell ref="A4:E4"/>
    <mergeCell ref="A5:D5"/>
    <mergeCell ref="A27:F27"/>
    <mergeCell ref="A28:D28"/>
    <mergeCell ref="A32:E32"/>
    <mergeCell ref="A33:F33"/>
    <mergeCell ref="A37:E37"/>
    <mergeCell ref="A38:F38"/>
    <mergeCell ref="A9:E9"/>
    <mergeCell ref="A10:F10"/>
    <mergeCell ref="A14:E14"/>
    <mergeCell ref="A15:F15"/>
    <mergeCell ref="A16:F16"/>
    <mergeCell ref="D17:F26"/>
    <mergeCell ref="B26:C26"/>
    <mergeCell ref="A56:E56"/>
    <mergeCell ref="A57:F57"/>
    <mergeCell ref="A66:E66"/>
    <mergeCell ref="A67:F67"/>
    <mergeCell ref="A68:F68"/>
    <mergeCell ref="D69:F78"/>
    <mergeCell ref="B78:C78"/>
    <mergeCell ref="A39:F39"/>
    <mergeCell ref="D40:F49"/>
    <mergeCell ref="B49:C49"/>
    <mergeCell ref="A50:F50"/>
    <mergeCell ref="A51:F51"/>
    <mergeCell ref="A52:D52"/>
    <mergeCell ref="A90:F90"/>
    <mergeCell ref="D91:F100"/>
    <mergeCell ref="B100:C100"/>
    <mergeCell ref="A101:F101"/>
    <mergeCell ref="A79:F79"/>
    <mergeCell ref="A80:D80"/>
    <mergeCell ref="A84:E84"/>
    <mergeCell ref="A85:F85"/>
    <mergeCell ref="A88:E88"/>
    <mergeCell ref="A89:F89"/>
    <mergeCell ref="A102:D102"/>
    <mergeCell ref="A105:E105"/>
    <mergeCell ref="A106:F106"/>
    <mergeCell ref="A109:E109"/>
    <mergeCell ref="A110:F110"/>
    <mergeCell ref="A123:D123"/>
    <mergeCell ref="A125:E125"/>
    <mergeCell ref="A111:F111"/>
    <mergeCell ref="D112:F121"/>
    <mergeCell ref="B121:C121"/>
    <mergeCell ref="A122:F122"/>
    <mergeCell ref="A143:F143"/>
    <mergeCell ref="A144:D144"/>
    <mergeCell ref="A147:E147"/>
    <mergeCell ref="A148:F148"/>
    <mergeCell ref="A151:E151"/>
    <mergeCell ref="A152:F152"/>
    <mergeCell ref="A126:F126"/>
    <mergeCell ref="A130:E130"/>
    <mergeCell ref="A131:F131"/>
    <mergeCell ref="A132:F132"/>
    <mergeCell ref="D133:F142"/>
    <mergeCell ref="B142:C142"/>
    <mergeCell ref="A170:F170"/>
    <mergeCell ref="A176:E176"/>
    <mergeCell ref="A177:F177"/>
    <mergeCell ref="A178:F178"/>
    <mergeCell ref="D179:F188"/>
    <mergeCell ref="B188:C188"/>
    <mergeCell ref="A153:F153"/>
    <mergeCell ref="D154:F163"/>
    <mergeCell ref="B163:C163"/>
    <mergeCell ref="A164:F164"/>
    <mergeCell ref="A165:D165"/>
    <mergeCell ref="A169:E169"/>
    <mergeCell ref="A202:F202"/>
    <mergeCell ref="D203:F212"/>
    <mergeCell ref="B212:C212"/>
    <mergeCell ref="A213:F213"/>
    <mergeCell ref="A214:D214"/>
    <mergeCell ref="A217:E217"/>
    <mergeCell ref="A189:F189"/>
    <mergeCell ref="A190:D190"/>
    <mergeCell ref="A194:E194"/>
    <mergeCell ref="A195:F195"/>
    <mergeCell ref="A200:E200"/>
    <mergeCell ref="A201:F201"/>
    <mergeCell ref="A234:F234"/>
    <mergeCell ref="A235:D235"/>
    <mergeCell ref="A238:E238"/>
    <mergeCell ref="A239:F239"/>
    <mergeCell ref="A240:F240"/>
    <mergeCell ref="D241:F250"/>
    <mergeCell ref="B250:C250"/>
    <mergeCell ref="A218:F218"/>
    <mergeCell ref="A221:E221"/>
    <mergeCell ref="A222:F222"/>
    <mergeCell ref="A223:F223"/>
    <mergeCell ref="D224:F233"/>
    <mergeCell ref="B233:C233"/>
    <mergeCell ref="A268:F268"/>
    <mergeCell ref="A269:D269"/>
    <mergeCell ref="A272:E272"/>
    <mergeCell ref="A273:F273"/>
    <mergeCell ref="A274:F274"/>
    <mergeCell ref="D275:F284"/>
    <mergeCell ref="B284:C284"/>
    <mergeCell ref="A251:F251"/>
    <mergeCell ref="A252:D252"/>
    <mergeCell ref="A255:E255"/>
    <mergeCell ref="A256:F256"/>
    <mergeCell ref="A257:F257"/>
    <mergeCell ref="D258:F267"/>
    <mergeCell ref="B267:C267"/>
    <mergeCell ref="A302:F302"/>
    <mergeCell ref="A303:D303"/>
    <mergeCell ref="A308:E308"/>
    <mergeCell ref="A309:F309"/>
    <mergeCell ref="A317:E317"/>
    <mergeCell ref="A318:F318"/>
    <mergeCell ref="A285:F285"/>
    <mergeCell ref="A286:D286"/>
    <mergeCell ref="A289:E289"/>
    <mergeCell ref="A290:F290"/>
    <mergeCell ref="A291:F291"/>
    <mergeCell ref="D292:F301"/>
    <mergeCell ref="B301:C301"/>
    <mergeCell ref="A339:E339"/>
    <mergeCell ref="A340:F340"/>
    <mergeCell ref="A341:F341"/>
    <mergeCell ref="D342:F351"/>
    <mergeCell ref="B351:C351"/>
    <mergeCell ref="A330:F330"/>
    <mergeCell ref="A319:F319"/>
    <mergeCell ref="D320:F329"/>
    <mergeCell ref="B329:C329"/>
    <mergeCell ref="A331:D331"/>
    <mergeCell ref="A334:E334"/>
    <mergeCell ref="A335:F335"/>
  </mergeCells>
  <printOptions horizontalCentered="1"/>
  <pageMargins left="0.51181102362204722" right="0.51181102362204722" top="0.82677165354330717" bottom="0.78740157480314965" header="0.19685039370078741" footer="0.31496062992125984"/>
  <pageSetup paperSize="9" scale="79" fitToWidth="0" fitToHeight="0" orientation="portrait" verticalDpi="300"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5532D-22F5-4BA4-A4E5-755BAC54E577}">
  <sheetPr>
    <tabColor theme="9"/>
  </sheetPr>
  <dimension ref="A1:H56"/>
  <sheetViews>
    <sheetView showGridLines="0" view="pageBreakPreview" zoomScaleNormal="115" zoomScaleSheetLayoutView="100" workbookViewId="0">
      <selection sqref="A1:D1"/>
    </sheetView>
  </sheetViews>
  <sheetFormatPr defaultRowHeight="12.75" x14ac:dyDescent="0.2"/>
  <cols>
    <col min="1" max="1" width="11" style="257" bestFit="1" customWidth="1"/>
    <col min="2" max="2" width="40.42578125" style="257" customWidth="1"/>
    <col min="3" max="3" width="11.7109375" style="261" customWidth="1"/>
    <col min="4" max="4" width="3.140625" style="257" bestFit="1" customWidth="1"/>
    <col min="5" max="5" width="11" style="257" bestFit="1" customWidth="1"/>
    <col min="6" max="6" width="34.42578125" style="257" customWidth="1"/>
    <col min="7" max="256" width="9.140625" style="257"/>
    <col min="257" max="257" width="11" style="257" bestFit="1" customWidth="1"/>
    <col min="258" max="258" width="40.42578125" style="257" customWidth="1"/>
    <col min="259" max="259" width="11.7109375" style="257" customWidth="1"/>
    <col min="260" max="260" width="3.140625" style="257" bestFit="1" customWidth="1"/>
    <col min="261" max="261" width="11" style="257" bestFit="1" customWidth="1"/>
    <col min="262" max="262" width="34.42578125" style="257" customWidth="1"/>
    <col min="263" max="512" width="9.140625" style="257"/>
    <col min="513" max="513" width="11" style="257" bestFit="1" customWidth="1"/>
    <col min="514" max="514" width="40.42578125" style="257" customWidth="1"/>
    <col min="515" max="515" width="11.7109375" style="257" customWidth="1"/>
    <col min="516" max="516" width="3.140625" style="257" bestFit="1" customWidth="1"/>
    <col min="517" max="517" width="11" style="257" bestFit="1" customWidth="1"/>
    <col min="518" max="518" width="34.42578125" style="257" customWidth="1"/>
    <col min="519" max="768" width="9.140625" style="257"/>
    <col min="769" max="769" width="11" style="257" bestFit="1" customWidth="1"/>
    <col min="770" max="770" width="40.42578125" style="257" customWidth="1"/>
    <col min="771" max="771" width="11.7109375" style="257" customWidth="1"/>
    <col min="772" max="772" width="3.140625" style="257" bestFit="1" customWidth="1"/>
    <col min="773" max="773" width="11" style="257" bestFit="1" customWidth="1"/>
    <col min="774" max="774" width="34.42578125" style="257" customWidth="1"/>
    <col min="775" max="1024" width="9.140625" style="257"/>
    <col min="1025" max="1025" width="11" style="257" bestFit="1" customWidth="1"/>
    <col min="1026" max="1026" width="40.42578125" style="257" customWidth="1"/>
    <col min="1027" max="1027" width="11.7109375" style="257" customWidth="1"/>
    <col min="1028" max="1028" width="3.140625" style="257" bestFit="1" customWidth="1"/>
    <col min="1029" max="1029" width="11" style="257" bestFit="1" customWidth="1"/>
    <col min="1030" max="1030" width="34.42578125" style="257" customWidth="1"/>
    <col min="1031" max="1280" width="9.140625" style="257"/>
    <col min="1281" max="1281" width="11" style="257" bestFit="1" customWidth="1"/>
    <col min="1282" max="1282" width="40.42578125" style="257" customWidth="1"/>
    <col min="1283" max="1283" width="11.7109375" style="257" customWidth="1"/>
    <col min="1284" max="1284" width="3.140625" style="257" bestFit="1" customWidth="1"/>
    <col min="1285" max="1285" width="11" style="257" bestFit="1" customWidth="1"/>
    <col min="1286" max="1286" width="34.42578125" style="257" customWidth="1"/>
    <col min="1287" max="1536" width="9.140625" style="257"/>
    <col min="1537" max="1537" width="11" style="257" bestFit="1" customWidth="1"/>
    <col min="1538" max="1538" width="40.42578125" style="257" customWidth="1"/>
    <col min="1539" max="1539" width="11.7109375" style="257" customWidth="1"/>
    <col min="1540" max="1540" width="3.140625" style="257" bestFit="1" customWidth="1"/>
    <col min="1541" max="1541" width="11" style="257" bestFit="1" customWidth="1"/>
    <col min="1542" max="1542" width="34.42578125" style="257" customWidth="1"/>
    <col min="1543" max="1792" width="9.140625" style="257"/>
    <col min="1793" max="1793" width="11" style="257" bestFit="1" customWidth="1"/>
    <col min="1794" max="1794" width="40.42578125" style="257" customWidth="1"/>
    <col min="1795" max="1795" width="11.7109375" style="257" customWidth="1"/>
    <col min="1796" max="1796" width="3.140625" style="257" bestFit="1" customWidth="1"/>
    <col min="1797" max="1797" width="11" style="257" bestFit="1" customWidth="1"/>
    <col min="1798" max="1798" width="34.42578125" style="257" customWidth="1"/>
    <col min="1799" max="2048" width="9.140625" style="257"/>
    <col min="2049" max="2049" width="11" style="257" bestFit="1" customWidth="1"/>
    <col min="2050" max="2050" width="40.42578125" style="257" customWidth="1"/>
    <col min="2051" max="2051" width="11.7109375" style="257" customWidth="1"/>
    <col min="2052" max="2052" width="3.140625" style="257" bestFit="1" customWidth="1"/>
    <col min="2053" max="2053" width="11" style="257" bestFit="1" customWidth="1"/>
    <col min="2054" max="2054" width="34.42578125" style="257" customWidth="1"/>
    <col min="2055" max="2304" width="9.140625" style="257"/>
    <col min="2305" max="2305" width="11" style="257" bestFit="1" customWidth="1"/>
    <col min="2306" max="2306" width="40.42578125" style="257" customWidth="1"/>
    <col min="2307" max="2307" width="11.7109375" style="257" customWidth="1"/>
    <col min="2308" max="2308" width="3.140625" style="257" bestFit="1" customWidth="1"/>
    <col min="2309" max="2309" width="11" style="257" bestFit="1" customWidth="1"/>
    <col min="2310" max="2310" width="34.42578125" style="257" customWidth="1"/>
    <col min="2311" max="2560" width="9.140625" style="257"/>
    <col min="2561" max="2561" width="11" style="257" bestFit="1" customWidth="1"/>
    <col min="2562" max="2562" width="40.42578125" style="257" customWidth="1"/>
    <col min="2563" max="2563" width="11.7109375" style="257" customWidth="1"/>
    <col min="2564" max="2564" width="3.140625" style="257" bestFit="1" customWidth="1"/>
    <col min="2565" max="2565" width="11" style="257" bestFit="1" customWidth="1"/>
    <col min="2566" max="2566" width="34.42578125" style="257" customWidth="1"/>
    <col min="2567" max="2816" width="9.140625" style="257"/>
    <col min="2817" max="2817" width="11" style="257" bestFit="1" customWidth="1"/>
    <col min="2818" max="2818" width="40.42578125" style="257" customWidth="1"/>
    <col min="2819" max="2819" width="11.7109375" style="257" customWidth="1"/>
    <col min="2820" max="2820" width="3.140625" style="257" bestFit="1" customWidth="1"/>
    <col min="2821" max="2821" width="11" style="257" bestFit="1" customWidth="1"/>
    <col min="2822" max="2822" width="34.42578125" style="257" customWidth="1"/>
    <col min="2823" max="3072" width="9.140625" style="257"/>
    <col min="3073" max="3073" width="11" style="257" bestFit="1" customWidth="1"/>
    <col min="3074" max="3074" width="40.42578125" style="257" customWidth="1"/>
    <col min="3075" max="3075" width="11.7109375" style="257" customWidth="1"/>
    <col min="3076" max="3076" width="3.140625" style="257" bestFit="1" customWidth="1"/>
    <col min="3077" max="3077" width="11" style="257" bestFit="1" customWidth="1"/>
    <col min="3078" max="3078" width="34.42578125" style="257" customWidth="1"/>
    <col min="3079" max="3328" width="9.140625" style="257"/>
    <col min="3329" max="3329" width="11" style="257" bestFit="1" customWidth="1"/>
    <col min="3330" max="3330" width="40.42578125" style="257" customWidth="1"/>
    <col min="3331" max="3331" width="11.7109375" style="257" customWidth="1"/>
    <col min="3332" max="3332" width="3.140625" style="257" bestFit="1" customWidth="1"/>
    <col min="3333" max="3333" width="11" style="257" bestFit="1" customWidth="1"/>
    <col min="3334" max="3334" width="34.42578125" style="257" customWidth="1"/>
    <col min="3335" max="3584" width="9.140625" style="257"/>
    <col min="3585" max="3585" width="11" style="257" bestFit="1" customWidth="1"/>
    <col min="3586" max="3586" width="40.42578125" style="257" customWidth="1"/>
    <col min="3587" max="3587" width="11.7109375" style="257" customWidth="1"/>
    <col min="3588" max="3588" width="3.140625" style="257" bestFit="1" customWidth="1"/>
    <col min="3589" max="3589" width="11" style="257" bestFit="1" customWidth="1"/>
    <col min="3590" max="3590" width="34.42578125" style="257" customWidth="1"/>
    <col min="3591" max="3840" width="9.140625" style="257"/>
    <col min="3841" max="3841" width="11" style="257" bestFit="1" customWidth="1"/>
    <col min="3842" max="3842" width="40.42578125" style="257" customWidth="1"/>
    <col min="3843" max="3843" width="11.7109375" style="257" customWidth="1"/>
    <col min="3844" max="3844" width="3.140625" style="257" bestFit="1" customWidth="1"/>
    <col min="3845" max="3845" width="11" style="257" bestFit="1" customWidth="1"/>
    <col min="3846" max="3846" width="34.42578125" style="257" customWidth="1"/>
    <col min="3847" max="4096" width="9.140625" style="257"/>
    <col min="4097" max="4097" width="11" style="257" bestFit="1" customWidth="1"/>
    <col min="4098" max="4098" width="40.42578125" style="257" customWidth="1"/>
    <col min="4099" max="4099" width="11.7109375" style="257" customWidth="1"/>
    <col min="4100" max="4100" width="3.140625" style="257" bestFit="1" customWidth="1"/>
    <col min="4101" max="4101" width="11" style="257" bestFit="1" customWidth="1"/>
    <col min="4102" max="4102" width="34.42578125" style="257" customWidth="1"/>
    <col min="4103" max="4352" width="9.140625" style="257"/>
    <col min="4353" max="4353" width="11" style="257" bestFit="1" customWidth="1"/>
    <col min="4354" max="4354" width="40.42578125" style="257" customWidth="1"/>
    <col min="4355" max="4355" width="11.7109375" style="257" customWidth="1"/>
    <col min="4356" max="4356" width="3.140625" style="257" bestFit="1" customWidth="1"/>
    <col min="4357" max="4357" width="11" style="257" bestFit="1" customWidth="1"/>
    <col min="4358" max="4358" width="34.42578125" style="257" customWidth="1"/>
    <col min="4359" max="4608" width="9.140625" style="257"/>
    <col min="4609" max="4609" width="11" style="257" bestFit="1" customWidth="1"/>
    <col min="4610" max="4610" width="40.42578125" style="257" customWidth="1"/>
    <col min="4611" max="4611" width="11.7109375" style="257" customWidth="1"/>
    <col min="4612" max="4612" width="3.140625" style="257" bestFit="1" customWidth="1"/>
    <col min="4613" max="4613" width="11" style="257" bestFit="1" customWidth="1"/>
    <col min="4614" max="4614" width="34.42578125" style="257" customWidth="1"/>
    <col min="4615" max="4864" width="9.140625" style="257"/>
    <col min="4865" max="4865" width="11" style="257" bestFit="1" customWidth="1"/>
    <col min="4866" max="4866" width="40.42578125" style="257" customWidth="1"/>
    <col min="4867" max="4867" width="11.7109375" style="257" customWidth="1"/>
    <col min="4868" max="4868" width="3.140625" style="257" bestFit="1" customWidth="1"/>
    <col min="4869" max="4869" width="11" style="257" bestFit="1" customWidth="1"/>
    <col min="4870" max="4870" width="34.42578125" style="257" customWidth="1"/>
    <col min="4871" max="5120" width="9.140625" style="257"/>
    <col min="5121" max="5121" width="11" style="257" bestFit="1" customWidth="1"/>
    <col min="5122" max="5122" width="40.42578125" style="257" customWidth="1"/>
    <col min="5123" max="5123" width="11.7109375" style="257" customWidth="1"/>
    <col min="5124" max="5124" width="3.140625" style="257" bestFit="1" customWidth="1"/>
    <col min="5125" max="5125" width="11" style="257" bestFit="1" customWidth="1"/>
    <col min="5126" max="5126" width="34.42578125" style="257" customWidth="1"/>
    <col min="5127" max="5376" width="9.140625" style="257"/>
    <col min="5377" max="5377" width="11" style="257" bestFit="1" customWidth="1"/>
    <col min="5378" max="5378" width="40.42578125" style="257" customWidth="1"/>
    <col min="5379" max="5379" width="11.7109375" style="257" customWidth="1"/>
    <col min="5380" max="5380" width="3.140625" style="257" bestFit="1" customWidth="1"/>
    <col min="5381" max="5381" width="11" style="257" bestFit="1" customWidth="1"/>
    <col min="5382" max="5382" width="34.42578125" style="257" customWidth="1"/>
    <col min="5383" max="5632" width="9.140625" style="257"/>
    <col min="5633" max="5633" width="11" style="257" bestFit="1" customWidth="1"/>
    <col min="5634" max="5634" width="40.42578125" style="257" customWidth="1"/>
    <col min="5635" max="5635" width="11.7109375" style="257" customWidth="1"/>
    <col min="5636" max="5636" width="3.140625" style="257" bestFit="1" customWidth="1"/>
    <col min="5637" max="5637" width="11" style="257" bestFit="1" customWidth="1"/>
    <col min="5638" max="5638" width="34.42578125" style="257" customWidth="1"/>
    <col min="5639" max="5888" width="9.140625" style="257"/>
    <col min="5889" max="5889" width="11" style="257" bestFit="1" customWidth="1"/>
    <col min="5890" max="5890" width="40.42578125" style="257" customWidth="1"/>
    <col min="5891" max="5891" width="11.7109375" style="257" customWidth="1"/>
    <col min="5892" max="5892" width="3.140625" style="257" bestFit="1" customWidth="1"/>
    <col min="5893" max="5893" width="11" style="257" bestFit="1" customWidth="1"/>
    <col min="5894" max="5894" width="34.42578125" style="257" customWidth="1"/>
    <col min="5895" max="6144" width="9.140625" style="257"/>
    <col min="6145" max="6145" width="11" style="257" bestFit="1" customWidth="1"/>
    <col min="6146" max="6146" width="40.42578125" style="257" customWidth="1"/>
    <col min="6147" max="6147" width="11.7109375" style="257" customWidth="1"/>
    <col min="6148" max="6148" width="3.140625" style="257" bestFit="1" customWidth="1"/>
    <col min="6149" max="6149" width="11" style="257" bestFit="1" customWidth="1"/>
    <col min="6150" max="6150" width="34.42578125" style="257" customWidth="1"/>
    <col min="6151" max="6400" width="9.140625" style="257"/>
    <col min="6401" max="6401" width="11" style="257" bestFit="1" customWidth="1"/>
    <col min="6402" max="6402" width="40.42578125" style="257" customWidth="1"/>
    <col min="6403" max="6403" width="11.7109375" style="257" customWidth="1"/>
    <col min="6404" max="6404" width="3.140625" style="257" bestFit="1" customWidth="1"/>
    <col min="6405" max="6405" width="11" style="257" bestFit="1" customWidth="1"/>
    <col min="6406" max="6406" width="34.42578125" style="257" customWidth="1"/>
    <col min="6407" max="6656" width="9.140625" style="257"/>
    <col min="6657" max="6657" width="11" style="257" bestFit="1" customWidth="1"/>
    <col min="6658" max="6658" width="40.42578125" style="257" customWidth="1"/>
    <col min="6659" max="6659" width="11.7109375" style="257" customWidth="1"/>
    <col min="6660" max="6660" width="3.140625" style="257" bestFit="1" customWidth="1"/>
    <col min="6661" max="6661" width="11" style="257" bestFit="1" customWidth="1"/>
    <col min="6662" max="6662" width="34.42578125" style="257" customWidth="1"/>
    <col min="6663" max="6912" width="9.140625" style="257"/>
    <col min="6913" max="6913" width="11" style="257" bestFit="1" customWidth="1"/>
    <col min="6914" max="6914" width="40.42578125" style="257" customWidth="1"/>
    <col min="6915" max="6915" width="11.7109375" style="257" customWidth="1"/>
    <col min="6916" max="6916" width="3.140625" style="257" bestFit="1" customWidth="1"/>
    <col min="6917" max="6917" width="11" style="257" bestFit="1" customWidth="1"/>
    <col min="6918" max="6918" width="34.42578125" style="257" customWidth="1"/>
    <col min="6919" max="7168" width="9.140625" style="257"/>
    <col min="7169" max="7169" width="11" style="257" bestFit="1" customWidth="1"/>
    <col min="7170" max="7170" width="40.42578125" style="257" customWidth="1"/>
    <col min="7171" max="7171" width="11.7109375" style="257" customWidth="1"/>
    <col min="7172" max="7172" width="3.140625" style="257" bestFit="1" customWidth="1"/>
    <col min="7173" max="7173" width="11" style="257" bestFit="1" customWidth="1"/>
    <col min="7174" max="7174" width="34.42578125" style="257" customWidth="1"/>
    <col min="7175" max="7424" width="9.140625" style="257"/>
    <col min="7425" max="7425" width="11" style="257" bestFit="1" customWidth="1"/>
    <col min="7426" max="7426" width="40.42578125" style="257" customWidth="1"/>
    <col min="7427" max="7427" width="11.7109375" style="257" customWidth="1"/>
    <col min="7428" max="7428" width="3.140625" style="257" bestFit="1" customWidth="1"/>
    <col min="7429" max="7429" width="11" style="257" bestFit="1" customWidth="1"/>
    <col min="7430" max="7430" width="34.42578125" style="257" customWidth="1"/>
    <col min="7431" max="7680" width="9.140625" style="257"/>
    <col min="7681" max="7681" width="11" style="257" bestFit="1" customWidth="1"/>
    <col min="7682" max="7682" width="40.42578125" style="257" customWidth="1"/>
    <col min="7683" max="7683" width="11.7109375" style="257" customWidth="1"/>
    <col min="7684" max="7684" width="3.140625" style="257" bestFit="1" customWidth="1"/>
    <col min="7685" max="7685" width="11" style="257" bestFit="1" customWidth="1"/>
    <col min="7686" max="7686" width="34.42578125" style="257" customWidth="1"/>
    <col min="7687" max="7936" width="9.140625" style="257"/>
    <col min="7937" max="7937" width="11" style="257" bestFit="1" customWidth="1"/>
    <col min="7938" max="7938" width="40.42578125" style="257" customWidth="1"/>
    <col min="7939" max="7939" width="11.7109375" style="257" customWidth="1"/>
    <col min="7940" max="7940" width="3.140625" style="257" bestFit="1" customWidth="1"/>
    <col min="7941" max="7941" width="11" style="257" bestFit="1" customWidth="1"/>
    <col min="7942" max="7942" width="34.42578125" style="257" customWidth="1"/>
    <col min="7943" max="8192" width="9.140625" style="257"/>
    <col min="8193" max="8193" width="11" style="257" bestFit="1" customWidth="1"/>
    <col min="8194" max="8194" width="40.42578125" style="257" customWidth="1"/>
    <col min="8195" max="8195" width="11.7109375" style="257" customWidth="1"/>
    <col min="8196" max="8196" width="3.140625" style="257" bestFit="1" customWidth="1"/>
    <col min="8197" max="8197" width="11" style="257" bestFit="1" customWidth="1"/>
    <col min="8198" max="8198" width="34.42578125" style="257" customWidth="1"/>
    <col min="8199" max="8448" width="9.140625" style="257"/>
    <col min="8449" max="8449" width="11" style="257" bestFit="1" customWidth="1"/>
    <col min="8450" max="8450" width="40.42578125" style="257" customWidth="1"/>
    <col min="8451" max="8451" width="11.7109375" style="257" customWidth="1"/>
    <col min="8452" max="8452" width="3.140625" style="257" bestFit="1" customWidth="1"/>
    <col min="8453" max="8453" width="11" style="257" bestFit="1" customWidth="1"/>
    <col min="8454" max="8454" width="34.42578125" style="257" customWidth="1"/>
    <col min="8455" max="8704" width="9.140625" style="257"/>
    <col min="8705" max="8705" width="11" style="257" bestFit="1" customWidth="1"/>
    <col min="8706" max="8706" width="40.42578125" style="257" customWidth="1"/>
    <col min="8707" max="8707" width="11.7109375" style="257" customWidth="1"/>
    <col min="8708" max="8708" width="3.140625" style="257" bestFit="1" customWidth="1"/>
    <col min="8709" max="8709" width="11" style="257" bestFit="1" customWidth="1"/>
    <col min="8710" max="8710" width="34.42578125" style="257" customWidth="1"/>
    <col min="8711" max="8960" width="9.140625" style="257"/>
    <col min="8961" max="8961" width="11" style="257" bestFit="1" customWidth="1"/>
    <col min="8962" max="8962" width="40.42578125" style="257" customWidth="1"/>
    <col min="8963" max="8963" width="11.7109375" style="257" customWidth="1"/>
    <col min="8964" max="8964" width="3.140625" style="257" bestFit="1" customWidth="1"/>
    <col min="8965" max="8965" width="11" style="257" bestFit="1" customWidth="1"/>
    <col min="8966" max="8966" width="34.42578125" style="257" customWidth="1"/>
    <col min="8967" max="9216" width="9.140625" style="257"/>
    <col min="9217" max="9217" width="11" style="257" bestFit="1" customWidth="1"/>
    <col min="9218" max="9218" width="40.42578125" style="257" customWidth="1"/>
    <col min="9219" max="9219" width="11.7109375" style="257" customWidth="1"/>
    <col min="9220" max="9220" width="3.140625" style="257" bestFit="1" customWidth="1"/>
    <col min="9221" max="9221" width="11" style="257" bestFit="1" customWidth="1"/>
    <col min="9222" max="9222" width="34.42578125" style="257" customWidth="1"/>
    <col min="9223" max="9472" width="9.140625" style="257"/>
    <col min="9473" max="9473" width="11" style="257" bestFit="1" customWidth="1"/>
    <col min="9474" max="9474" width="40.42578125" style="257" customWidth="1"/>
    <col min="9475" max="9475" width="11.7109375" style="257" customWidth="1"/>
    <col min="9476" max="9476" width="3.140625" style="257" bestFit="1" customWidth="1"/>
    <col min="9477" max="9477" width="11" style="257" bestFit="1" customWidth="1"/>
    <col min="9478" max="9478" width="34.42578125" style="257" customWidth="1"/>
    <col min="9479" max="9728" width="9.140625" style="257"/>
    <col min="9729" max="9729" width="11" style="257" bestFit="1" customWidth="1"/>
    <col min="9730" max="9730" width="40.42578125" style="257" customWidth="1"/>
    <col min="9731" max="9731" width="11.7109375" style="257" customWidth="1"/>
    <col min="9732" max="9732" width="3.140625" style="257" bestFit="1" customWidth="1"/>
    <col min="9733" max="9733" width="11" style="257" bestFit="1" customWidth="1"/>
    <col min="9734" max="9734" width="34.42578125" style="257" customWidth="1"/>
    <col min="9735" max="9984" width="9.140625" style="257"/>
    <col min="9985" max="9985" width="11" style="257" bestFit="1" customWidth="1"/>
    <col min="9986" max="9986" width="40.42578125" style="257" customWidth="1"/>
    <col min="9987" max="9987" width="11.7109375" style="257" customWidth="1"/>
    <col min="9988" max="9988" width="3.140625" style="257" bestFit="1" customWidth="1"/>
    <col min="9989" max="9989" width="11" style="257" bestFit="1" customWidth="1"/>
    <col min="9990" max="9990" width="34.42578125" style="257" customWidth="1"/>
    <col min="9991" max="10240" width="9.140625" style="257"/>
    <col min="10241" max="10241" width="11" style="257" bestFit="1" customWidth="1"/>
    <col min="10242" max="10242" width="40.42578125" style="257" customWidth="1"/>
    <col min="10243" max="10243" width="11.7109375" style="257" customWidth="1"/>
    <col min="10244" max="10244" width="3.140625" style="257" bestFit="1" customWidth="1"/>
    <col min="10245" max="10245" width="11" style="257" bestFit="1" customWidth="1"/>
    <col min="10246" max="10246" width="34.42578125" style="257" customWidth="1"/>
    <col min="10247" max="10496" width="9.140625" style="257"/>
    <col min="10497" max="10497" width="11" style="257" bestFit="1" customWidth="1"/>
    <col min="10498" max="10498" width="40.42578125" style="257" customWidth="1"/>
    <col min="10499" max="10499" width="11.7109375" style="257" customWidth="1"/>
    <col min="10500" max="10500" width="3.140625" style="257" bestFit="1" customWidth="1"/>
    <col min="10501" max="10501" width="11" style="257" bestFit="1" customWidth="1"/>
    <col min="10502" max="10502" width="34.42578125" style="257" customWidth="1"/>
    <col min="10503" max="10752" width="9.140625" style="257"/>
    <col min="10753" max="10753" width="11" style="257" bestFit="1" customWidth="1"/>
    <col min="10754" max="10754" width="40.42578125" style="257" customWidth="1"/>
    <col min="10755" max="10755" width="11.7109375" style="257" customWidth="1"/>
    <col min="10756" max="10756" width="3.140625" style="257" bestFit="1" customWidth="1"/>
    <col min="10757" max="10757" width="11" style="257" bestFit="1" customWidth="1"/>
    <col min="10758" max="10758" width="34.42578125" style="257" customWidth="1"/>
    <col min="10759" max="11008" width="9.140625" style="257"/>
    <col min="11009" max="11009" width="11" style="257" bestFit="1" customWidth="1"/>
    <col min="11010" max="11010" width="40.42578125" style="257" customWidth="1"/>
    <col min="11011" max="11011" width="11.7109375" style="257" customWidth="1"/>
    <col min="11012" max="11012" width="3.140625" style="257" bestFit="1" customWidth="1"/>
    <col min="11013" max="11013" width="11" style="257" bestFit="1" customWidth="1"/>
    <col min="11014" max="11014" width="34.42578125" style="257" customWidth="1"/>
    <col min="11015" max="11264" width="9.140625" style="257"/>
    <col min="11265" max="11265" width="11" style="257" bestFit="1" customWidth="1"/>
    <col min="11266" max="11266" width="40.42578125" style="257" customWidth="1"/>
    <col min="11267" max="11267" width="11.7109375" style="257" customWidth="1"/>
    <col min="11268" max="11268" width="3.140625" style="257" bestFit="1" customWidth="1"/>
    <col min="11269" max="11269" width="11" style="257" bestFit="1" customWidth="1"/>
    <col min="11270" max="11270" width="34.42578125" style="257" customWidth="1"/>
    <col min="11271" max="11520" width="9.140625" style="257"/>
    <col min="11521" max="11521" width="11" style="257" bestFit="1" customWidth="1"/>
    <col min="11522" max="11522" width="40.42578125" style="257" customWidth="1"/>
    <col min="11523" max="11523" width="11.7109375" style="257" customWidth="1"/>
    <col min="11524" max="11524" width="3.140625" style="257" bestFit="1" customWidth="1"/>
    <col min="11525" max="11525" width="11" style="257" bestFit="1" customWidth="1"/>
    <col min="11526" max="11526" width="34.42578125" style="257" customWidth="1"/>
    <col min="11527" max="11776" width="9.140625" style="257"/>
    <col min="11777" max="11777" width="11" style="257" bestFit="1" customWidth="1"/>
    <col min="11778" max="11778" width="40.42578125" style="257" customWidth="1"/>
    <col min="11779" max="11779" width="11.7109375" style="257" customWidth="1"/>
    <col min="11780" max="11780" width="3.140625" style="257" bestFit="1" customWidth="1"/>
    <col min="11781" max="11781" width="11" style="257" bestFit="1" customWidth="1"/>
    <col min="11782" max="11782" width="34.42578125" style="257" customWidth="1"/>
    <col min="11783" max="12032" width="9.140625" style="257"/>
    <col min="12033" max="12033" width="11" style="257" bestFit="1" customWidth="1"/>
    <col min="12034" max="12034" width="40.42578125" style="257" customWidth="1"/>
    <col min="12035" max="12035" width="11.7109375" style="257" customWidth="1"/>
    <col min="12036" max="12036" width="3.140625" style="257" bestFit="1" customWidth="1"/>
    <col min="12037" max="12037" width="11" style="257" bestFit="1" customWidth="1"/>
    <col min="12038" max="12038" width="34.42578125" style="257" customWidth="1"/>
    <col min="12039" max="12288" width="9.140625" style="257"/>
    <col min="12289" max="12289" width="11" style="257" bestFit="1" customWidth="1"/>
    <col min="12290" max="12290" width="40.42578125" style="257" customWidth="1"/>
    <col min="12291" max="12291" width="11.7109375" style="257" customWidth="1"/>
    <col min="12292" max="12292" width="3.140625" style="257" bestFit="1" customWidth="1"/>
    <col min="12293" max="12293" width="11" style="257" bestFit="1" customWidth="1"/>
    <col min="12294" max="12294" width="34.42578125" style="257" customWidth="1"/>
    <col min="12295" max="12544" width="9.140625" style="257"/>
    <col min="12545" max="12545" width="11" style="257" bestFit="1" customWidth="1"/>
    <col min="12546" max="12546" width="40.42578125" style="257" customWidth="1"/>
    <col min="12547" max="12547" width="11.7109375" style="257" customWidth="1"/>
    <col min="12548" max="12548" width="3.140625" style="257" bestFit="1" customWidth="1"/>
    <col min="12549" max="12549" width="11" style="257" bestFit="1" customWidth="1"/>
    <col min="12550" max="12550" width="34.42578125" style="257" customWidth="1"/>
    <col min="12551" max="12800" width="9.140625" style="257"/>
    <col min="12801" max="12801" width="11" style="257" bestFit="1" customWidth="1"/>
    <col min="12802" max="12802" width="40.42578125" style="257" customWidth="1"/>
    <col min="12803" max="12803" width="11.7109375" style="257" customWidth="1"/>
    <col min="12804" max="12804" width="3.140625" style="257" bestFit="1" customWidth="1"/>
    <col min="12805" max="12805" width="11" style="257" bestFit="1" customWidth="1"/>
    <col min="12806" max="12806" width="34.42578125" style="257" customWidth="1"/>
    <col min="12807" max="13056" width="9.140625" style="257"/>
    <col min="13057" max="13057" width="11" style="257" bestFit="1" customWidth="1"/>
    <col min="13058" max="13058" width="40.42578125" style="257" customWidth="1"/>
    <col min="13059" max="13059" width="11.7109375" style="257" customWidth="1"/>
    <col min="13060" max="13060" width="3.140625" style="257" bestFit="1" customWidth="1"/>
    <col min="13061" max="13061" width="11" style="257" bestFit="1" customWidth="1"/>
    <col min="13062" max="13062" width="34.42578125" style="257" customWidth="1"/>
    <col min="13063" max="13312" width="9.140625" style="257"/>
    <col min="13313" max="13313" width="11" style="257" bestFit="1" customWidth="1"/>
    <col min="13314" max="13314" width="40.42578125" style="257" customWidth="1"/>
    <col min="13315" max="13315" width="11.7109375" style="257" customWidth="1"/>
    <col min="13316" max="13316" width="3.140625" style="257" bestFit="1" customWidth="1"/>
    <col min="13317" max="13317" width="11" style="257" bestFit="1" customWidth="1"/>
    <col min="13318" max="13318" width="34.42578125" style="257" customWidth="1"/>
    <col min="13319" max="13568" width="9.140625" style="257"/>
    <col min="13569" max="13569" width="11" style="257" bestFit="1" customWidth="1"/>
    <col min="13570" max="13570" width="40.42578125" style="257" customWidth="1"/>
    <col min="13571" max="13571" width="11.7109375" style="257" customWidth="1"/>
    <col min="13572" max="13572" width="3.140625" style="257" bestFit="1" customWidth="1"/>
    <col min="13573" max="13573" width="11" style="257" bestFit="1" customWidth="1"/>
    <col min="13574" max="13574" width="34.42578125" style="257" customWidth="1"/>
    <col min="13575" max="13824" width="9.140625" style="257"/>
    <col min="13825" max="13825" width="11" style="257" bestFit="1" customWidth="1"/>
    <col min="13826" max="13826" width="40.42578125" style="257" customWidth="1"/>
    <col min="13827" max="13827" width="11.7109375" style="257" customWidth="1"/>
    <col min="13828" max="13828" width="3.140625" style="257" bestFit="1" customWidth="1"/>
    <col min="13829" max="13829" width="11" style="257" bestFit="1" customWidth="1"/>
    <col min="13830" max="13830" width="34.42578125" style="257" customWidth="1"/>
    <col min="13831" max="14080" width="9.140625" style="257"/>
    <col min="14081" max="14081" width="11" style="257" bestFit="1" customWidth="1"/>
    <col min="14082" max="14082" width="40.42578125" style="257" customWidth="1"/>
    <col min="14083" max="14083" width="11.7109375" style="257" customWidth="1"/>
    <col min="14084" max="14084" width="3.140625" style="257" bestFit="1" customWidth="1"/>
    <col min="14085" max="14085" width="11" style="257" bestFit="1" customWidth="1"/>
    <col min="14086" max="14086" width="34.42578125" style="257" customWidth="1"/>
    <col min="14087" max="14336" width="9.140625" style="257"/>
    <col min="14337" max="14337" width="11" style="257" bestFit="1" customWidth="1"/>
    <col min="14338" max="14338" width="40.42578125" style="257" customWidth="1"/>
    <col min="14339" max="14339" width="11.7109375" style="257" customWidth="1"/>
    <col min="14340" max="14340" width="3.140625" style="257" bestFit="1" customWidth="1"/>
    <col min="14341" max="14341" width="11" style="257" bestFit="1" customWidth="1"/>
    <col min="14342" max="14342" width="34.42578125" style="257" customWidth="1"/>
    <col min="14343" max="14592" width="9.140625" style="257"/>
    <col min="14593" max="14593" width="11" style="257" bestFit="1" customWidth="1"/>
    <col min="14594" max="14594" width="40.42578125" style="257" customWidth="1"/>
    <col min="14595" max="14595" width="11.7109375" style="257" customWidth="1"/>
    <col min="14596" max="14596" width="3.140625" style="257" bestFit="1" customWidth="1"/>
    <col min="14597" max="14597" width="11" style="257" bestFit="1" customWidth="1"/>
    <col min="14598" max="14598" width="34.42578125" style="257" customWidth="1"/>
    <col min="14599" max="14848" width="9.140625" style="257"/>
    <col min="14849" max="14849" width="11" style="257" bestFit="1" customWidth="1"/>
    <col min="14850" max="14850" width="40.42578125" style="257" customWidth="1"/>
    <col min="14851" max="14851" width="11.7109375" style="257" customWidth="1"/>
    <col min="14852" max="14852" width="3.140625" style="257" bestFit="1" customWidth="1"/>
    <col min="14853" max="14853" width="11" style="257" bestFit="1" customWidth="1"/>
    <col min="14854" max="14854" width="34.42578125" style="257" customWidth="1"/>
    <col min="14855" max="15104" width="9.140625" style="257"/>
    <col min="15105" max="15105" width="11" style="257" bestFit="1" customWidth="1"/>
    <col min="15106" max="15106" width="40.42578125" style="257" customWidth="1"/>
    <col min="15107" max="15107" width="11.7109375" style="257" customWidth="1"/>
    <col min="15108" max="15108" width="3.140625" style="257" bestFit="1" customWidth="1"/>
    <col min="15109" max="15109" width="11" style="257" bestFit="1" customWidth="1"/>
    <col min="15110" max="15110" width="34.42578125" style="257" customWidth="1"/>
    <col min="15111" max="15360" width="9.140625" style="257"/>
    <col min="15361" max="15361" width="11" style="257" bestFit="1" customWidth="1"/>
    <col min="15362" max="15362" width="40.42578125" style="257" customWidth="1"/>
    <col min="15363" max="15363" width="11.7109375" style="257" customWidth="1"/>
    <col min="15364" max="15364" width="3.140625" style="257" bestFit="1" customWidth="1"/>
    <col min="15365" max="15365" width="11" style="257" bestFit="1" customWidth="1"/>
    <col min="15366" max="15366" width="34.42578125" style="257" customWidth="1"/>
    <col min="15367" max="15616" width="9.140625" style="257"/>
    <col min="15617" max="15617" width="11" style="257" bestFit="1" customWidth="1"/>
    <col min="15618" max="15618" width="40.42578125" style="257" customWidth="1"/>
    <col min="15619" max="15619" width="11.7109375" style="257" customWidth="1"/>
    <col min="15620" max="15620" width="3.140625" style="257" bestFit="1" customWidth="1"/>
    <col min="15621" max="15621" width="11" style="257" bestFit="1" customWidth="1"/>
    <col min="15622" max="15622" width="34.42578125" style="257" customWidth="1"/>
    <col min="15623" max="15872" width="9.140625" style="257"/>
    <col min="15873" max="15873" width="11" style="257" bestFit="1" customWidth="1"/>
    <col min="15874" max="15874" width="40.42578125" style="257" customWidth="1"/>
    <col min="15875" max="15875" width="11.7109375" style="257" customWidth="1"/>
    <col min="15876" max="15876" width="3.140625" style="257" bestFit="1" customWidth="1"/>
    <col min="15877" max="15877" width="11" style="257" bestFit="1" customWidth="1"/>
    <col min="15878" max="15878" width="34.42578125" style="257" customWidth="1"/>
    <col min="15879" max="16128" width="9.140625" style="257"/>
    <col min="16129" max="16129" width="11" style="257" bestFit="1" customWidth="1"/>
    <col min="16130" max="16130" width="40.42578125" style="257" customWidth="1"/>
    <col min="16131" max="16131" width="11.7109375" style="257" customWidth="1"/>
    <col min="16132" max="16132" width="3.140625" style="257" bestFit="1" customWidth="1"/>
    <col min="16133" max="16133" width="11" style="257" bestFit="1" customWidth="1"/>
    <col min="16134" max="16134" width="34.42578125" style="257" customWidth="1"/>
    <col min="16135" max="16384" width="9.140625" style="257"/>
  </cols>
  <sheetData>
    <row r="1" spans="1:8" s="250" customFormat="1" ht="14.25" x14ac:dyDescent="0.2">
      <c r="A1" s="507" t="s">
        <v>370</v>
      </c>
      <c r="B1" s="507"/>
      <c r="C1" s="507"/>
      <c r="D1" s="507"/>
      <c r="E1" s="252"/>
      <c r="F1" s="252"/>
      <c r="H1" s="251"/>
    </row>
    <row r="2" spans="1:8" s="250" customFormat="1" x14ac:dyDescent="0.2">
      <c r="A2" s="249"/>
      <c r="B2" s="249"/>
      <c r="C2" s="249"/>
      <c r="D2" s="249"/>
      <c r="E2" s="249"/>
      <c r="F2" s="249"/>
      <c r="H2" s="251"/>
    </row>
    <row r="3" spans="1:8" s="252" customFormat="1" x14ac:dyDescent="0.2">
      <c r="A3" s="253" t="s">
        <v>371</v>
      </c>
      <c r="B3" s="508" t="s">
        <v>372</v>
      </c>
      <c r="C3" s="508"/>
      <c r="D3" s="508"/>
      <c r="E3" s="249"/>
    </row>
    <row r="4" spans="1:8" s="252" customFormat="1" x14ac:dyDescent="0.2">
      <c r="A4" s="253" t="s">
        <v>373</v>
      </c>
      <c r="B4" s="508" t="s">
        <v>374</v>
      </c>
      <c r="C4" s="508"/>
      <c r="D4" s="508"/>
      <c r="E4" s="249"/>
    </row>
    <row r="5" spans="1:8" s="252" customFormat="1" x14ac:dyDescent="0.2">
      <c r="A5" s="253"/>
      <c r="B5" s="254"/>
      <c r="C5" s="255"/>
      <c r="D5" s="256"/>
      <c r="E5" s="249"/>
    </row>
    <row r="6" spans="1:8" x14ac:dyDescent="0.2">
      <c r="A6" s="502" t="s">
        <v>375</v>
      </c>
      <c r="B6" s="502"/>
      <c r="C6" s="502"/>
      <c r="D6" s="502"/>
    </row>
    <row r="7" spans="1:8" ht="8.1" customHeight="1" x14ac:dyDescent="0.2">
      <c r="B7" s="259"/>
      <c r="C7" s="258"/>
      <c r="D7" s="259"/>
    </row>
    <row r="8" spans="1:8" x14ac:dyDescent="0.2">
      <c r="B8" s="260" t="s">
        <v>376</v>
      </c>
      <c r="C8" s="258"/>
      <c r="D8" s="259"/>
    </row>
    <row r="9" spans="1:8" ht="8.1" customHeight="1" x14ac:dyDescent="0.2">
      <c r="C9" s="258"/>
      <c r="D9" s="259"/>
    </row>
    <row r="10" spans="1:8" x14ac:dyDescent="0.2">
      <c r="A10" s="502" t="s">
        <v>377</v>
      </c>
      <c r="B10" s="502"/>
      <c r="C10" s="502"/>
      <c r="D10" s="502"/>
    </row>
    <row r="11" spans="1:8" x14ac:dyDescent="0.2">
      <c r="C11" s="258"/>
      <c r="D11" s="259"/>
    </row>
    <row r="12" spans="1:8" x14ac:dyDescent="0.2">
      <c r="B12" s="260" t="s">
        <v>378</v>
      </c>
      <c r="C12" s="258"/>
      <c r="D12" s="259"/>
    </row>
    <row r="13" spans="1:8" ht="8.1" customHeight="1" x14ac:dyDescent="0.2">
      <c r="B13" s="261"/>
      <c r="D13" s="261"/>
      <c r="E13" s="261"/>
      <c r="F13" s="261"/>
    </row>
    <row r="14" spans="1:8" x14ac:dyDescent="0.2">
      <c r="A14" s="502" t="s">
        <v>379</v>
      </c>
      <c r="B14" s="502"/>
      <c r="C14" s="502"/>
      <c r="D14" s="502"/>
    </row>
    <row r="15" spans="1:8" x14ac:dyDescent="0.2">
      <c r="C15" s="258"/>
      <c r="D15" s="258"/>
    </row>
    <row r="16" spans="1:8" x14ac:dyDescent="0.2">
      <c r="A16" s="262"/>
      <c r="B16" s="263" t="s">
        <v>726</v>
      </c>
      <c r="C16" s="264">
        <v>4</v>
      </c>
      <c r="D16" s="265" t="s">
        <v>235</v>
      </c>
      <c r="F16" s="266"/>
    </row>
    <row r="17" spans="1:6" x14ac:dyDescent="0.2">
      <c r="A17" s="262"/>
      <c r="B17" s="263" t="s">
        <v>727</v>
      </c>
      <c r="C17" s="264">
        <v>0.4</v>
      </c>
      <c r="D17" s="265" t="s">
        <v>235</v>
      </c>
      <c r="F17" s="266"/>
    </row>
    <row r="18" spans="1:6" x14ac:dyDescent="0.2">
      <c r="A18" s="262"/>
      <c r="B18" s="263" t="s">
        <v>728</v>
      </c>
      <c r="C18" s="264">
        <v>0.42</v>
      </c>
      <c r="D18" s="265" t="s">
        <v>235</v>
      </c>
      <c r="F18" s="266"/>
    </row>
    <row r="19" spans="1:6" x14ac:dyDescent="0.2">
      <c r="A19" s="262"/>
      <c r="B19" s="263" t="s">
        <v>729</v>
      </c>
      <c r="C19" s="264">
        <v>0.63</v>
      </c>
      <c r="D19" s="265" t="s">
        <v>235</v>
      </c>
      <c r="F19" s="266"/>
    </row>
    <row r="20" spans="1:6" ht="8.1" customHeight="1" x14ac:dyDescent="0.2">
      <c r="B20" s="267"/>
      <c r="C20" s="268"/>
      <c r="D20" s="269"/>
      <c r="F20" s="266"/>
    </row>
    <row r="21" spans="1:6" x14ac:dyDescent="0.2">
      <c r="A21" s="262"/>
      <c r="B21" s="263" t="s">
        <v>730</v>
      </c>
      <c r="C21" s="264">
        <v>4</v>
      </c>
      <c r="D21" s="265" t="s">
        <v>235</v>
      </c>
      <c r="F21" s="266"/>
    </row>
    <row r="22" spans="1:6" ht="8.1" customHeight="1" x14ac:dyDescent="0.2">
      <c r="D22" s="261"/>
    </row>
    <row r="23" spans="1:6" ht="12.75" customHeight="1" x14ac:dyDescent="0.2">
      <c r="A23" s="502" t="s">
        <v>380</v>
      </c>
      <c r="B23" s="502"/>
      <c r="C23" s="502"/>
      <c r="D23" s="502"/>
    </row>
    <row r="24" spans="1:6" ht="8.1" customHeight="1" x14ac:dyDescent="0.2">
      <c r="A24" s="259"/>
      <c r="B24" s="259"/>
      <c r="C24" s="259"/>
      <c r="D24" s="259"/>
    </row>
    <row r="25" spans="1:6" ht="12.75" customHeight="1" x14ac:dyDescent="0.2">
      <c r="A25" s="259"/>
      <c r="B25" s="270" t="s">
        <v>381</v>
      </c>
      <c r="C25" s="271">
        <f>C28+C30+C31+C32</f>
        <v>13.15</v>
      </c>
      <c r="D25" s="272" t="s">
        <v>235</v>
      </c>
    </row>
    <row r="26" spans="1:6" ht="12.75" customHeight="1" x14ac:dyDescent="0.2">
      <c r="A26" s="259"/>
      <c r="B26" s="259"/>
      <c r="C26" s="259"/>
      <c r="D26" s="259"/>
    </row>
    <row r="27" spans="1:6" ht="13.5" customHeight="1" x14ac:dyDescent="0.2">
      <c r="A27" s="259"/>
      <c r="B27" s="273" t="s">
        <v>382</v>
      </c>
      <c r="C27" s="264">
        <v>100</v>
      </c>
      <c r="D27" s="272" t="s">
        <v>235</v>
      </c>
    </row>
    <row r="28" spans="1:6" ht="12.75" customHeight="1" x14ac:dyDescent="0.2">
      <c r="A28" s="259"/>
      <c r="B28" s="273" t="s">
        <v>383</v>
      </c>
      <c r="C28" s="264">
        <v>5</v>
      </c>
      <c r="D28" s="272" t="s">
        <v>235</v>
      </c>
    </row>
    <row r="29" spans="1:6" ht="8.1" customHeight="1" x14ac:dyDescent="0.2">
      <c r="C29" s="258"/>
      <c r="D29" s="258"/>
    </row>
    <row r="30" spans="1:6" x14ac:dyDescent="0.2">
      <c r="B30" s="273" t="s">
        <v>384</v>
      </c>
      <c r="C30" s="274">
        <v>3</v>
      </c>
      <c r="D30" s="275" t="s">
        <v>235</v>
      </c>
      <c r="F30" s="266"/>
    </row>
    <row r="31" spans="1:6" ht="12.75" customHeight="1" x14ac:dyDescent="0.2">
      <c r="B31" s="273" t="s">
        <v>385</v>
      </c>
      <c r="C31" s="274">
        <v>0.65</v>
      </c>
      <c r="D31" s="275" t="s">
        <v>235</v>
      </c>
    </row>
    <row r="32" spans="1:6" ht="12.75" customHeight="1" x14ac:dyDescent="0.2">
      <c r="B32" s="273" t="s">
        <v>386</v>
      </c>
      <c r="C32" s="274">
        <f>IF(B8="Com Desoneração",4.5,0)</f>
        <v>4.5</v>
      </c>
      <c r="D32" s="265" t="s">
        <v>235</v>
      </c>
    </row>
    <row r="33" spans="1:6" ht="8.1" customHeight="1" x14ac:dyDescent="0.2">
      <c r="D33" s="261"/>
    </row>
    <row r="34" spans="1:6" x14ac:dyDescent="0.2">
      <c r="A34" s="502" t="s">
        <v>387</v>
      </c>
      <c r="B34" s="502"/>
      <c r="C34" s="502"/>
      <c r="D34" s="502"/>
    </row>
    <row r="35" spans="1:6" x14ac:dyDescent="0.2">
      <c r="C35" s="258"/>
      <c r="D35" s="259"/>
    </row>
    <row r="36" spans="1:6" ht="12.75" customHeight="1" x14ac:dyDescent="0.2">
      <c r="B36" s="261" t="s">
        <v>731</v>
      </c>
      <c r="C36" s="503">
        <f>ROUND((((1+($C$16/100)+($C$18/100)+($C$17/100))*(1+($C$19/100))*(1+($C$21/100)))/(1-$C$25/100)-1),4)</f>
        <v>0.2631</v>
      </c>
      <c r="D36" s="504"/>
      <c r="F36" s="276" t="str">
        <f>[1]Auxiliar!A17</f>
        <v>Atende</v>
      </c>
    </row>
    <row r="37" spans="1:6" ht="12.75" customHeight="1" x14ac:dyDescent="0.2">
      <c r="B37" s="261" t="s">
        <v>388</v>
      </c>
      <c r="C37" s="505"/>
      <c r="D37" s="506"/>
      <c r="F37" s="277"/>
    </row>
    <row r="38" spans="1:6" x14ac:dyDescent="0.2">
      <c r="C38" s="278"/>
    </row>
    <row r="39" spans="1:6" x14ac:dyDescent="0.2">
      <c r="A39" s="280" t="s">
        <v>389</v>
      </c>
    </row>
    <row r="40" spans="1:6" x14ac:dyDescent="0.2">
      <c r="A40" s="280" t="str">
        <f>CONCATENATE("do ISS para ", B12," é de ",C27," %",", com a respectiva alíquota de ",C28,"  %")</f>
        <v>do ISS para Edificações é de 100 %, com a respectiva alíquota de 5  %</v>
      </c>
    </row>
    <row r="41" spans="1:6" x14ac:dyDescent="0.2">
      <c r="A41" s="280"/>
    </row>
    <row r="42" spans="1:6" x14ac:dyDescent="0.2">
      <c r="A42" s="281" t="s">
        <v>390</v>
      </c>
      <c r="B42" s="279"/>
      <c r="C42" s="281"/>
      <c r="D42" s="281"/>
    </row>
    <row r="43" spans="1:6" x14ac:dyDescent="0.2">
      <c r="A43" s="281" t="str">
        <f>CONCATENATE("elaboração do orçamento foi ",B8,", e que esta é a alternativa mais adequada para ")</f>
        <v xml:space="preserve">elaboração do orçamento foi Com Desoneração, e que esta é a alternativa mais adequada para </v>
      </c>
      <c r="C43" s="281"/>
      <c r="D43" s="281"/>
    </row>
    <row r="44" spans="1:6" x14ac:dyDescent="0.2">
      <c r="A44" s="281" t="s">
        <v>391</v>
      </c>
      <c r="C44" s="281"/>
      <c r="D44" s="281"/>
    </row>
    <row r="48" spans="1:6" x14ac:dyDescent="0.2">
      <c r="A48" s="262" t="s">
        <v>392</v>
      </c>
      <c r="B48" s="282" t="s">
        <v>393</v>
      </c>
    </row>
    <row r="49" spans="1:3" x14ac:dyDescent="0.2">
      <c r="A49" s="262" t="s">
        <v>394</v>
      </c>
      <c r="B49" s="283" t="s">
        <v>395</v>
      </c>
    </row>
    <row r="52" spans="1:3" x14ac:dyDescent="0.2">
      <c r="C52" s="257"/>
    </row>
    <row r="54" spans="1:3" x14ac:dyDescent="0.2">
      <c r="B54" s="282" t="s">
        <v>396</v>
      </c>
    </row>
    <row r="55" spans="1:3" x14ac:dyDescent="0.2">
      <c r="A55" s="262" t="s">
        <v>397</v>
      </c>
      <c r="B55" s="283" t="s">
        <v>398</v>
      </c>
    </row>
    <row r="56" spans="1:3" x14ac:dyDescent="0.2">
      <c r="A56" s="262" t="s">
        <v>399</v>
      </c>
      <c r="B56" s="283" t="s">
        <v>400</v>
      </c>
    </row>
  </sheetData>
  <sheetProtection selectLockedCells="1" autoFilter="0"/>
  <protectedRanges>
    <protectedRange sqref="C16:C19" name="Intervalo1"/>
    <protectedRange sqref="C20:C21 C30:C32" name="Intervalo2"/>
  </protectedRanges>
  <mergeCells count="9">
    <mergeCell ref="A23:D23"/>
    <mergeCell ref="A34:D34"/>
    <mergeCell ref="C36:D37"/>
    <mergeCell ref="A1:D1"/>
    <mergeCell ref="B3:D3"/>
    <mergeCell ref="B4:D4"/>
    <mergeCell ref="A6:D6"/>
    <mergeCell ref="A10:D10"/>
    <mergeCell ref="A14:D14"/>
  </mergeCells>
  <conditionalFormatting sqref="F36">
    <cfRule type="cellIs" dxfId="0" priority="1" stopIfTrue="1" operator="equal">
      <formula>"Atende"</formula>
    </cfRule>
  </conditionalFormatting>
  <dataValidations count="4">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xr:uid="{62375E27-2B6A-4655-9D98-2E8ADF91AA4A}">
      <formula1>"Edificações, Fornecimento de Materiais e Equipamentos, Redes de Água, Esgoto ou Correlatas, Rodovias e Ferrovias, Portuárias, Marítimas e Fluviais,"</formula1>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A48A488-5749-42F8-905C-90300C478B4C}">
      <formula1>"Com Desoneração, Sem Desoneração"</formula1>
    </dataValidation>
    <dataValidation type="decimal" allowBlank="1" showInputMessage="1" showErrorMessage="1" errorTitle="Atenção" error="O valor deve estar entre 2%  e  5%"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xr:uid="{6D4CB8A8-C6FC-469A-B037-E637C65A9776}">
      <formula1>2</formula1>
      <formula2>5</formula2>
    </dataValidation>
    <dataValidation type="decimal" allowBlank="1" showInputMessage="1" showErrorMessage="1" errorTitle="Atenção" error="O valor deve estar entre 0 e 100"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xr:uid="{D083AF8A-BC20-4FB3-97B9-9AB69FD3FD4F}">
      <formula1>0</formula1>
      <formula2>100</formula2>
    </dataValidation>
  </dataValidations>
  <printOptions horizontalCentered="1"/>
  <pageMargins left="0.39370078740157483" right="0.39370078740157483" top="1.2037500000000001" bottom="0.39370078740157483" header="0.39370078740157483" footer="0.51181102362204722"/>
  <pageSetup paperSize="9" scale="107" orientation="portrait" r:id="rId1"/>
  <headerFooter alignWithMargins="0">
    <oddHeader>&amp;C&amp;G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0B98B-009D-49FD-B771-61D0DEEA3135}">
  <dimension ref="A1:H205"/>
  <sheetViews>
    <sheetView view="pageBreakPreview" zoomScaleNormal="100" zoomScaleSheetLayoutView="100" workbookViewId="0">
      <selection activeCell="B6" sqref="B6"/>
    </sheetView>
  </sheetViews>
  <sheetFormatPr defaultRowHeight="12.75" x14ac:dyDescent="0.2"/>
  <cols>
    <col min="1" max="1" width="13.42578125" style="284" customWidth="1"/>
    <col min="2" max="2" width="44.42578125" style="284" customWidth="1"/>
    <col min="3" max="3" width="12.5703125" style="284" customWidth="1"/>
    <col min="4" max="4" width="13.28515625" style="284" customWidth="1"/>
    <col min="5" max="6" width="14.7109375" style="284" customWidth="1"/>
    <col min="7" max="16384" width="9.140625" style="284"/>
  </cols>
  <sheetData>
    <row r="1" spans="1:8" ht="14.25" x14ac:dyDescent="0.2">
      <c r="A1" s="527" t="s">
        <v>401</v>
      </c>
      <c r="B1" s="528"/>
      <c r="C1" s="528"/>
      <c r="D1" s="528"/>
      <c r="E1" s="528"/>
      <c r="F1" s="529"/>
    </row>
    <row r="2" spans="1:8" ht="15" customHeight="1" x14ac:dyDescent="0.2">
      <c r="A2" s="531" t="s">
        <v>732</v>
      </c>
      <c r="B2" s="531"/>
      <c r="C2" s="531"/>
      <c r="D2" s="531"/>
      <c r="E2" s="531"/>
      <c r="F2" s="531"/>
    </row>
    <row r="3" spans="1:8" x14ac:dyDescent="0.2">
      <c r="A3" s="514" t="s">
        <v>733</v>
      </c>
      <c r="B3" s="514"/>
      <c r="C3" s="514"/>
      <c r="D3" s="514"/>
      <c r="E3" s="514"/>
      <c r="F3" s="514"/>
    </row>
    <row r="4" spans="1:8" x14ac:dyDescent="0.2">
      <c r="A4" s="513" t="s">
        <v>402</v>
      </c>
      <c r="B4" s="513"/>
      <c r="C4" s="513"/>
      <c r="D4" s="513"/>
      <c r="E4" s="513"/>
      <c r="F4" s="297" t="s">
        <v>403</v>
      </c>
    </row>
    <row r="5" spans="1:8" ht="15.75" customHeight="1" x14ac:dyDescent="0.2">
      <c r="A5" s="532"/>
      <c r="B5" s="532"/>
      <c r="C5" s="532"/>
      <c r="D5" s="532"/>
      <c r="E5" s="532"/>
      <c r="F5" s="532"/>
    </row>
    <row r="6" spans="1:8" ht="15" customHeight="1" x14ac:dyDescent="0.2">
      <c r="A6" s="525" t="s">
        <v>404</v>
      </c>
      <c r="B6" s="319" t="s">
        <v>405</v>
      </c>
      <c r="C6" s="318" t="s">
        <v>406</v>
      </c>
      <c r="D6" s="285" t="s">
        <v>407</v>
      </c>
      <c r="E6" s="318" t="s">
        <v>408</v>
      </c>
      <c r="F6" s="285" t="s">
        <v>409</v>
      </c>
      <c r="G6" s="363"/>
      <c r="H6" s="533"/>
    </row>
    <row r="7" spans="1:8" x14ac:dyDescent="0.2">
      <c r="A7" s="525"/>
      <c r="B7" s="29" t="s">
        <v>410</v>
      </c>
      <c r="C7" s="318" t="s">
        <v>18</v>
      </c>
      <c r="D7" s="285">
        <v>1</v>
      </c>
      <c r="E7" s="286">
        <v>37.950000000000003</v>
      </c>
      <c r="F7" s="286">
        <f>PRODUCT(D7,E7)</f>
        <v>37.950000000000003</v>
      </c>
      <c r="G7" s="363"/>
      <c r="H7" s="533"/>
    </row>
    <row r="8" spans="1:8" x14ac:dyDescent="0.2">
      <c r="A8" s="449" t="s">
        <v>411</v>
      </c>
      <c r="B8" s="449"/>
      <c r="C8" s="449"/>
      <c r="D8" s="449"/>
      <c r="E8" s="449"/>
      <c r="F8" s="287">
        <f>F7</f>
        <v>37.950000000000003</v>
      </c>
      <c r="G8" s="363"/>
      <c r="H8" s="533"/>
    </row>
    <row r="9" spans="1:8" ht="18" customHeight="1" x14ac:dyDescent="0.2">
      <c r="A9" s="474"/>
      <c r="B9" s="474"/>
      <c r="C9" s="474"/>
      <c r="D9" s="474"/>
      <c r="E9" s="474"/>
      <c r="F9" s="474"/>
      <c r="G9" s="363"/>
      <c r="H9" s="533"/>
    </row>
    <row r="10" spans="1:8" ht="13.5" customHeight="1" x14ac:dyDescent="0.2">
      <c r="A10" s="525" t="s">
        <v>412</v>
      </c>
      <c r="B10" s="319" t="s">
        <v>413</v>
      </c>
      <c r="C10" s="318" t="s">
        <v>406</v>
      </c>
      <c r="D10" s="285" t="s">
        <v>407</v>
      </c>
      <c r="E10" s="318" t="s">
        <v>408</v>
      </c>
      <c r="F10" s="285" t="s">
        <v>409</v>
      </c>
      <c r="G10" s="363"/>
      <c r="H10" s="533"/>
    </row>
    <row r="11" spans="1:8" x14ac:dyDescent="0.2">
      <c r="A11" s="525"/>
      <c r="B11" s="33" t="s">
        <v>414</v>
      </c>
      <c r="C11" s="318" t="s">
        <v>18</v>
      </c>
      <c r="D11" s="285">
        <v>1</v>
      </c>
      <c r="E11" s="286">
        <v>45</v>
      </c>
      <c r="F11" s="286">
        <f>PRODUCT(D11,E11)</f>
        <v>45</v>
      </c>
      <c r="G11" s="363"/>
      <c r="H11" s="533"/>
    </row>
    <row r="12" spans="1:8" x14ac:dyDescent="0.2">
      <c r="A12" s="449" t="s">
        <v>415</v>
      </c>
      <c r="B12" s="449"/>
      <c r="C12" s="449"/>
      <c r="D12" s="449"/>
      <c r="E12" s="449"/>
      <c r="F12" s="287">
        <f>F11</f>
        <v>45</v>
      </c>
      <c r="G12" s="363"/>
      <c r="H12" s="533"/>
    </row>
    <row r="13" spans="1:8" ht="13.5" customHeight="1" x14ac:dyDescent="0.2">
      <c r="A13" s="474"/>
      <c r="B13" s="474"/>
      <c r="C13" s="474"/>
      <c r="D13" s="474"/>
      <c r="E13" s="474"/>
      <c r="F13" s="474"/>
      <c r="G13" s="363"/>
      <c r="H13" s="533"/>
    </row>
    <row r="14" spans="1:8" x14ac:dyDescent="0.2">
      <c r="A14" s="525" t="s">
        <v>416</v>
      </c>
      <c r="B14" s="318" t="s">
        <v>417</v>
      </c>
      <c r="C14" s="318" t="s">
        <v>406</v>
      </c>
      <c r="D14" s="285" t="s">
        <v>407</v>
      </c>
      <c r="E14" s="318" t="s">
        <v>408</v>
      </c>
      <c r="F14" s="285" t="s">
        <v>409</v>
      </c>
      <c r="G14" s="363"/>
      <c r="H14" s="533"/>
    </row>
    <row r="15" spans="1:8" x14ac:dyDescent="0.2">
      <c r="A15" s="525"/>
      <c r="B15" s="33" t="s">
        <v>418</v>
      </c>
      <c r="C15" s="318" t="s">
        <v>18</v>
      </c>
      <c r="D15" s="285">
        <v>1</v>
      </c>
      <c r="E15" s="286">
        <v>37</v>
      </c>
      <c r="F15" s="286">
        <f>PRODUCT(D15,E15)</f>
        <v>37</v>
      </c>
      <c r="G15" s="363"/>
      <c r="H15" s="533"/>
    </row>
    <row r="16" spans="1:8" x14ac:dyDescent="0.2">
      <c r="A16" s="449" t="s">
        <v>419</v>
      </c>
      <c r="B16" s="449"/>
      <c r="C16" s="449"/>
      <c r="D16" s="449"/>
      <c r="E16" s="449"/>
      <c r="F16" s="287">
        <f>F15</f>
        <v>37</v>
      </c>
      <c r="G16" s="363"/>
      <c r="H16" s="533"/>
    </row>
    <row r="17" spans="1:8" x14ac:dyDescent="0.2">
      <c r="A17" s="474"/>
      <c r="B17" s="474"/>
      <c r="C17" s="474"/>
      <c r="D17" s="474"/>
      <c r="E17" s="474"/>
      <c r="F17" s="474"/>
      <c r="G17" s="363"/>
      <c r="H17" s="533"/>
    </row>
    <row r="18" spans="1:8" x14ac:dyDescent="0.2">
      <c r="A18" s="449" t="s">
        <v>420</v>
      </c>
      <c r="B18" s="512"/>
      <c r="C18" s="512"/>
      <c r="D18" s="512"/>
      <c r="E18" s="512"/>
      <c r="F18" s="288">
        <f>SUM(F8,F12,F16)/3</f>
        <v>39.983333333333334</v>
      </c>
      <c r="G18" s="363"/>
      <c r="H18" s="533"/>
    </row>
    <row r="19" spans="1:8" x14ac:dyDescent="0.2">
      <c r="A19" s="474"/>
      <c r="B19" s="474"/>
      <c r="C19" s="474"/>
      <c r="D19" s="474"/>
      <c r="E19" s="474"/>
      <c r="F19" s="474"/>
    </row>
    <row r="20" spans="1:8" x14ac:dyDescent="0.2">
      <c r="A20" s="530" t="s">
        <v>734</v>
      </c>
      <c r="B20" s="530"/>
      <c r="C20" s="530"/>
      <c r="D20" s="530"/>
      <c r="E20" s="530"/>
      <c r="F20" s="530"/>
    </row>
    <row r="21" spans="1:8" x14ac:dyDescent="0.2">
      <c r="A21" s="513" t="s">
        <v>421</v>
      </c>
      <c r="B21" s="513"/>
      <c r="C21" s="513"/>
      <c r="D21" s="513"/>
      <c r="E21" s="513"/>
      <c r="F21" s="297" t="s">
        <v>422</v>
      </c>
    </row>
    <row r="22" spans="1:8" x14ac:dyDescent="0.2">
      <c r="A22" s="289"/>
      <c r="B22" s="289"/>
      <c r="C22" s="289"/>
      <c r="D22" s="289"/>
      <c r="E22" s="289"/>
      <c r="F22" s="289"/>
    </row>
    <row r="23" spans="1:8" s="290" customFormat="1" x14ac:dyDescent="0.2">
      <c r="A23" s="525" t="s">
        <v>404</v>
      </c>
      <c r="B23" s="319" t="s">
        <v>423</v>
      </c>
      <c r="C23" s="318" t="s">
        <v>406</v>
      </c>
      <c r="D23" s="285" t="s">
        <v>407</v>
      </c>
      <c r="E23" s="318" t="s">
        <v>408</v>
      </c>
      <c r="F23" s="285" t="s">
        <v>409</v>
      </c>
      <c r="G23" s="6"/>
      <c r="H23" s="6"/>
    </row>
    <row r="24" spans="1:8" x14ac:dyDescent="0.2">
      <c r="A24" s="525"/>
      <c r="B24" s="29" t="s">
        <v>424</v>
      </c>
      <c r="C24" s="318" t="s">
        <v>32</v>
      </c>
      <c r="D24" s="285">
        <v>1</v>
      </c>
      <c r="E24" s="286">
        <v>1699</v>
      </c>
      <c r="F24" s="286">
        <f>PRODUCT(D24,E24)</f>
        <v>1699</v>
      </c>
      <c r="G24" s="8"/>
      <c r="H24" s="8"/>
    </row>
    <row r="25" spans="1:8" x14ac:dyDescent="0.2">
      <c r="A25" s="449" t="s">
        <v>411</v>
      </c>
      <c r="B25" s="449"/>
      <c r="C25" s="449"/>
      <c r="D25" s="449"/>
      <c r="E25" s="449"/>
      <c r="F25" s="287">
        <f>F24</f>
        <v>1699</v>
      </c>
      <c r="G25" s="8"/>
      <c r="H25" s="8"/>
    </row>
    <row r="26" spans="1:8" x14ac:dyDescent="0.2">
      <c r="A26" s="474"/>
      <c r="B26" s="474"/>
      <c r="C26" s="474"/>
      <c r="D26" s="474"/>
      <c r="E26" s="474"/>
      <c r="F26" s="474"/>
      <c r="G26" s="8"/>
      <c r="H26" s="8"/>
    </row>
    <row r="27" spans="1:8" s="290" customFormat="1" x14ac:dyDescent="0.2">
      <c r="A27" s="525" t="s">
        <v>412</v>
      </c>
      <c r="B27" s="319" t="s">
        <v>425</v>
      </c>
      <c r="C27" s="318" t="s">
        <v>406</v>
      </c>
      <c r="D27" s="285" t="s">
        <v>407</v>
      </c>
      <c r="E27" s="318" t="s">
        <v>408</v>
      </c>
      <c r="F27" s="285" t="s">
        <v>409</v>
      </c>
      <c r="G27" s="6"/>
      <c r="H27" s="6"/>
    </row>
    <row r="28" spans="1:8" x14ac:dyDescent="0.2">
      <c r="A28" s="525"/>
      <c r="B28" s="33" t="s">
        <v>426</v>
      </c>
      <c r="C28" s="318" t="s">
        <v>32</v>
      </c>
      <c r="D28" s="285">
        <v>1</v>
      </c>
      <c r="E28" s="286">
        <v>930</v>
      </c>
      <c r="F28" s="286">
        <f>PRODUCT(D28,E28)</f>
        <v>930</v>
      </c>
      <c r="G28" s="8"/>
      <c r="H28" s="8"/>
    </row>
    <row r="29" spans="1:8" x14ac:dyDescent="0.2">
      <c r="A29" s="449" t="s">
        <v>415</v>
      </c>
      <c r="B29" s="449"/>
      <c r="C29" s="449"/>
      <c r="D29" s="449"/>
      <c r="E29" s="449"/>
      <c r="F29" s="287">
        <f>F28</f>
        <v>930</v>
      </c>
      <c r="G29" s="8"/>
      <c r="H29" s="8"/>
    </row>
    <row r="30" spans="1:8" x14ac:dyDescent="0.2">
      <c r="A30" s="474"/>
      <c r="B30" s="474"/>
      <c r="C30" s="474"/>
      <c r="D30" s="474"/>
      <c r="E30" s="474"/>
      <c r="F30" s="474"/>
      <c r="G30" s="8"/>
      <c r="H30" s="8"/>
    </row>
    <row r="31" spans="1:8" s="290" customFormat="1" x14ac:dyDescent="0.2">
      <c r="A31" s="525" t="s">
        <v>416</v>
      </c>
      <c r="B31" s="319" t="s">
        <v>427</v>
      </c>
      <c r="C31" s="318" t="s">
        <v>406</v>
      </c>
      <c r="D31" s="285" t="s">
        <v>407</v>
      </c>
      <c r="E31" s="318" t="s">
        <v>408</v>
      </c>
      <c r="F31" s="285" t="s">
        <v>409</v>
      </c>
      <c r="G31" s="6"/>
      <c r="H31" s="6"/>
    </row>
    <row r="32" spans="1:8" x14ac:dyDescent="0.2">
      <c r="A32" s="525"/>
      <c r="B32" s="33" t="s">
        <v>428</v>
      </c>
      <c r="C32" s="318" t="s">
        <v>32</v>
      </c>
      <c r="D32" s="285">
        <v>1</v>
      </c>
      <c r="E32" s="286">
        <v>1463</v>
      </c>
      <c r="F32" s="286">
        <f>PRODUCT(D32,E32)</f>
        <v>1463</v>
      </c>
      <c r="G32" s="8"/>
      <c r="H32" s="8"/>
    </row>
    <row r="33" spans="1:8" x14ac:dyDescent="0.2">
      <c r="A33" s="449" t="s">
        <v>419</v>
      </c>
      <c r="B33" s="449"/>
      <c r="C33" s="449"/>
      <c r="D33" s="449"/>
      <c r="E33" s="449"/>
      <c r="F33" s="287">
        <f>F32</f>
        <v>1463</v>
      </c>
      <c r="G33" s="8"/>
      <c r="H33" s="8"/>
    </row>
    <row r="34" spans="1:8" x14ac:dyDescent="0.2">
      <c r="A34" s="474"/>
      <c r="B34" s="474"/>
      <c r="C34" s="474"/>
      <c r="D34" s="474"/>
      <c r="E34" s="474"/>
      <c r="F34" s="474"/>
      <c r="G34" s="8"/>
      <c r="H34" s="8"/>
    </row>
    <row r="35" spans="1:8" x14ac:dyDescent="0.2">
      <c r="A35" s="449" t="s">
        <v>420</v>
      </c>
      <c r="B35" s="512"/>
      <c r="C35" s="512"/>
      <c r="D35" s="512"/>
      <c r="E35" s="512"/>
      <c r="F35" s="288">
        <f>SUM(F25,F29,F33)/3</f>
        <v>1364</v>
      </c>
      <c r="G35" s="8"/>
      <c r="H35" s="8"/>
    </row>
    <row r="36" spans="1:8" x14ac:dyDescent="0.2">
      <c r="A36" s="474"/>
      <c r="B36" s="474"/>
      <c r="C36" s="474"/>
      <c r="D36" s="474"/>
      <c r="E36" s="474"/>
      <c r="F36" s="474"/>
      <c r="G36" s="8"/>
      <c r="H36" s="8"/>
    </row>
    <row r="37" spans="1:8" x14ac:dyDescent="0.2">
      <c r="A37" s="514" t="s">
        <v>735</v>
      </c>
      <c r="B37" s="514"/>
      <c r="C37" s="514"/>
      <c r="D37" s="514"/>
      <c r="E37" s="514"/>
      <c r="F37" s="514"/>
    </row>
    <row r="38" spans="1:8" x14ac:dyDescent="0.2">
      <c r="A38" s="513" t="s">
        <v>429</v>
      </c>
      <c r="B38" s="513"/>
      <c r="C38" s="513"/>
      <c r="D38" s="513"/>
      <c r="E38" s="513"/>
      <c r="F38" s="297" t="s">
        <v>422</v>
      </c>
    </row>
    <row r="39" spans="1:8" x14ac:dyDescent="0.2">
      <c r="A39" s="289"/>
      <c r="B39" s="289"/>
      <c r="C39" s="289"/>
      <c r="D39" s="289"/>
      <c r="E39" s="289"/>
      <c r="F39" s="289"/>
    </row>
    <row r="40" spans="1:8" x14ac:dyDescent="0.2">
      <c r="A40" s="525" t="s">
        <v>404</v>
      </c>
      <c r="B40" s="319" t="s">
        <v>423</v>
      </c>
      <c r="C40" s="318" t="s">
        <v>406</v>
      </c>
      <c r="D40" s="285" t="s">
        <v>407</v>
      </c>
      <c r="E40" s="318" t="s">
        <v>408</v>
      </c>
      <c r="F40" s="285" t="s">
        <v>409</v>
      </c>
      <c r="G40" s="291"/>
    </row>
    <row r="41" spans="1:8" x14ac:dyDescent="0.2">
      <c r="A41" s="525"/>
      <c r="B41" s="29" t="s">
        <v>424</v>
      </c>
      <c r="C41" s="318" t="s">
        <v>32</v>
      </c>
      <c r="D41" s="285">
        <v>1</v>
      </c>
      <c r="E41" s="286">
        <v>1594</v>
      </c>
      <c r="F41" s="286">
        <f>PRODUCT(D41,E41)</f>
        <v>1594</v>
      </c>
    </row>
    <row r="42" spans="1:8" x14ac:dyDescent="0.2">
      <c r="A42" s="449" t="s">
        <v>411</v>
      </c>
      <c r="B42" s="449"/>
      <c r="C42" s="449"/>
      <c r="D42" s="449"/>
      <c r="E42" s="449"/>
      <c r="F42" s="287">
        <f>F41</f>
        <v>1594</v>
      </c>
    </row>
    <row r="43" spans="1:8" x14ac:dyDescent="0.2">
      <c r="A43" s="474"/>
      <c r="B43" s="474"/>
      <c r="C43" s="474"/>
      <c r="D43" s="474"/>
      <c r="E43" s="474"/>
      <c r="F43" s="474"/>
    </row>
    <row r="44" spans="1:8" x14ac:dyDescent="0.2">
      <c r="A44" s="525" t="s">
        <v>412</v>
      </c>
      <c r="B44" s="319" t="s">
        <v>425</v>
      </c>
      <c r="C44" s="318" t="s">
        <v>406</v>
      </c>
      <c r="D44" s="285" t="s">
        <v>407</v>
      </c>
      <c r="E44" s="318" t="s">
        <v>408</v>
      </c>
      <c r="F44" s="285" t="s">
        <v>409</v>
      </c>
      <c r="G44" s="8"/>
    </row>
    <row r="45" spans="1:8" x14ac:dyDescent="0.2">
      <c r="A45" s="525"/>
      <c r="B45" s="33" t="s">
        <v>426</v>
      </c>
      <c r="C45" s="318" t="s">
        <v>32</v>
      </c>
      <c r="D45" s="285">
        <v>1</v>
      </c>
      <c r="E45" s="286">
        <v>970</v>
      </c>
      <c r="F45" s="286">
        <f>PRODUCT(D45,E45)</f>
        <v>970</v>
      </c>
    </row>
    <row r="46" spans="1:8" x14ac:dyDescent="0.2">
      <c r="A46" s="449" t="s">
        <v>415</v>
      </c>
      <c r="B46" s="449"/>
      <c r="C46" s="449"/>
      <c r="D46" s="449"/>
      <c r="E46" s="449"/>
      <c r="F46" s="287">
        <f>F45</f>
        <v>970</v>
      </c>
    </row>
    <row r="47" spans="1:8" x14ac:dyDescent="0.2">
      <c r="A47" s="474"/>
      <c r="B47" s="474"/>
      <c r="C47" s="474"/>
      <c r="D47" s="474"/>
      <c r="E47" s="474"/>
      <c r="F47" s="474"/>
    </row>
    <row r="48" spans="1:8" x14ac:dyDescent="0.2">
      <c r="A48" s="525" t="s">
        <v>416</v>
      </c>
      <c r="B48" s="319" t="s">
        <v>427</v>
      </c>
      <c r="C48" s="318" t="s">
        <v>406</v>
      </c>
      <c r="D48" s="285" t="s">
        <v>407</v>
      </c>
      <c r="E48" s="318" t="s">
        <v>408</v>
      </c>
      <c r="F48" s="285" t="s">
        <v>409</v>
      </c>
    </row>
    <row r="49" spans="1:7" x14ac:dyDescent="0.2">
      <c r="A49" s="525"/>
      <c r="B49" s="33" t="s">
        <v>428</v>
      </c>
      <c r="C49" s="318" t="s">
        <v>32</v>
      </c>
      <c r="D49" s="285">
        <v>1</v>
      </c>
      <c r="E49" s="286">
        <v>1083</v>
      </c>
      <c r="F49" s="286">
        <f>PRODUCT(D49,E49)</f>
        <v>1083</v>
      </c>
      <c r="G49" s="8"/>
    </row>
    <row r="50" spans="1:7" x14ac:dyDescent="0.2">
      <c r="A50" s="449" t="s">
        <v>419</v>
      </c>
      <c r="B50" s="449"/>
      <c r="C50" s="449"/>
      <c r="D50" s="449"/>
      <c r="E50" s="449"/>
      <c r="F50" s="287">
        <f>F49</f>
        <v>1083</v>
      </c>
    </row>
    <row r="51" spans="1:7" x14ac:dyDescent="0.2">
      <c r="A51" s="474"/>
      <c r="B51" s="474"/>
      <c r="C51" s="474"/>
      <c r="D51" s="474"/>
      <c r="E51" s="474"/>
      <c r="F51" s="474"/>
    </row>
    <row r="52" spans="1:7" x14ac:dyDescent="0.2">
      <c r="A52" s="449" t="s">
        <v>420</v>
      </c>
      <c r="B52" s="512"/>
      <c r="C52" s="512"/>
      <c r="D52" s="512"/>
      <c r="E52" s="512"/>
      <c r="F52" s="288">
        <f>SUM(F42,F46,F50)/3</f>
        <v>1215.6666666666667</v>
      </c>
    </row>
    <row r="53" spans="1:7" x14ac:dyDescent="0.2">
      <c r="A53" s="474"/>
      <c r="B53" s="474"/>
      <c r="C53" s="474"/>
      <c r="D53" s="474"/>
      <c r="E53" s="474"/>
      <c r="F53" s="474"/>
    </row>
    <row r="54" spans="1:7" s="292" customFormat="1" x14ac:dyDescent="0.2">
      <c r="A54" s="514" t="s">
        <v>736</v>
      </c>
      <c r="B54" s="514"/>
      <c r="C54" s="514"/>
      <c r="D54" s="514"/>
      <c r="E54" s="514"/>
      <c r="F54" s="514"/>
    </row>
    <row r="55" spans="1:7" x14ac:dyDescent="0.2">
      <c r="A55" s="513" t="s">
        <v>430</v>
      </c>
      <c r="B55" s="513"/>
      <c r="C55" s="513"/>
      <c r="D55" s="513"/>
      <c r="E55" s="513"/>
      <c r="F55" s="297" t="s">
        <v>422</v>
      </c>
    </row>
    <row r="56" spans="1:7" x14ac:dyDescent="0.2">
      <c r="A56" s="289"/>
      <c r="B56" s="289"/>
      <c r="C56" s="289"/>
      <c r="D56" s="289"/>
      <c r="E56" s="289"/>
      <c r="F56" s="289"/>
    </row>
    <row r="57" spans="1:7" x14ac:dyDescent="0.2">
      <c r="A57" s="525" t="s">
        <v>404</v>
      </c>
      <c r="B57" s="319" t="s">
        <v>431</v>
      </c>
      <c r="C57" s="318" t="s">
        <v>406</v>
      </c>
      <c r="D57" s="285" t="s">
        <v>407</v>
      </c>
      <c r="E57" s="318" t="s">
        <v>408</v>
      </c>
      <c r="F57" s="285" t="s">
        <v>409</v>
      </c>
    </row>
    <row r="58" spans="1:7" x14ac:dyDescent="0.2">
      <c r="A58" s="525"/>
      <c r="B58" s="29" t="s">
        <v>432</v>
      </c>
      <c r="C58" s="318" t="s">
        <v>32</v>
      </c>
      <c r="D58" s="285">
        <v>1</v>
      </c>
      <c r="E58" s="286">
        <v>921</v>
      </c>
      <c r="F58" s="286">
        <f>PRODUCT(D58,E58)</f>
        <v>921</v>
      </c>
    </row>
    <row r="59" spans="1:7" x14ac:dyDescent="0.2">
      <c r="A59" s="449" t="s">
        <v>411</v>
      </c>
      <c r="B59" s="449"/>
      <c r="C59" s="449"/>
      <c r="D59" s="449"/>
      <c r="E59" s="449"/>
      <c r="F59" s="287">
        <f>F58</f>
        <v>921</v>
      </c>
    </row>
    <row r="60" spans="1:7" x14ac:dyDescent="0.2">
      <c r="A60" s="474"/>
      <c r="B60" s="474"/>
      <c r="C60" s="474"/>
      <c r="D60" s="474"/>
      <c r="E60" s="474"/>
      <c r="F60" s="474"/>
    </row>
    <row r="61" spans="1:7" x14ac:dyDescent="0.2">
      <c r="A61" s="525" t="s">
        <v>412</v>
      </c>
      <c r="B61" s="319" t="s">
        <v>425</v>
      </c>
      <c r="C61" s="318" t="s">
        <v>406</v>
      </c>
      <c r="D61" s="285" t="s">
        <v>407</v>
      </c>
      <c r="E61" s="318" t="s">
        <v>408</v>
      </c>
      <c r="F61" s="285" t="s">
        <v>409</v>
      </c>
    </row>
    <row r="62" spans="1:7" x14ac:dyDescent="0.2">
      <c r="A62" s="525"/>
      <c r="B62" s="33" t="s">
        <v>426</v>
      </c>
      <c r="C62" s="318" t="s">
        <v>32</v>
      </c>
      <c r="D62" s="285">
        <v>1</v>
      </c>
      <c r="E62" s="286">
        <v>1070</v>
      </c>
      <c r="F62" s="286">
        <f>PRODUCT(D62,E62)</f>
        <v>1070</v>
      </c>
      <c r="G62" s="8"/>
    </row>
    <row r="63" spans="1:7" x14ac:dyDescent="0.2">
      <c r="A63" s="449" t="s">
        <v>415</v>
      </c>
      <c r="B63" s="449"/>
      <c r="C63" s="449"/>
      <c r="D63" s="449"/>
      <c r="E63" s="449"/>
      <c r="F63" s="287">
        <f>F62</f>
        <v>1070</v>
      </c>
    </row>
    <row r="64" spans="1:7" x14ac:dyDescent="0.2">
      <c r="A64" s="474"/>
      <c r="B64" s="474"/>
      <c r="C64" s="474"/>
      <c r="D64" s="474"/>
      <c r="E64" s="474"/>
      <c r="F64" s="474"/>
    </row>
    <row r="65" spans="1:7" x14ac:dyDescent="0.2">
      <c r="A65" s="525" t="s">
        <v>416</v>
      </c>
      <c r="B65" s="319" t="s">
        <v>427</v>
      </c>
      <c r="C65" s="318" t="s">
        <v>406</v>
      </c>
      <c r="D65" s="285" t="s">
        <v>407</v>
      </c>
      <c r="E65" s="318" t="s">
        <v>408</v>
      </c>
      <c r="F65" s="285" t="s">
        <v>409</v>
      </c>
    </row>
    <row r="66" spans="1:7" x14ac:dyDescent="0.2">
      <c r="A66" s="525"/>
      <c r="B66" s="33" t="s">
        <v>428</v>
      </c>
      <c r="C66" s="318" t="s">
        <v>32</v>
      </c>
      <c r="D66" s="285">
        <v>1</v>
      </c>
      <c r="E66" s="286">
        <v>1616</v>
      </c>
      <c r="F66" s="286">
        <f>PRODUCT(D66,E66)</f>
        <v>1616</v>
      </c>
    </row>
    <row r="67" spans="1:7" x14ac:dyDescent="0.2">
      <c r="A67" s="449" t="s">
        <v>419</v>
      </c>
      <c r="B67" s="449"/>
      <c r="C67" s="449"/>
      <c r="D67" s="449"/>
      <c r="E67" s="449"/>
      <c r="F67" s="287">
        <f>F66</f>
        <v>1616</v>
      </c>
    </row>
    <row r="68" spans="1:7" x14ac:dyDescent="0.2">
      <c r="A68" s="474"/>
      <c r="B68" s="474"/>
      <c r="C68" s="474"/>
      <c r="D68" s="474"/>
      <c r="E68" s="474"/>
      <c r="F68" s="474"/>
    </row>
    <row r="69" spans="1:7" x14ac:dyDescent="0.2">
      <c r="A69" s="449" t="s">
        <v>420</v>
      </c>
      <c r="B69" s="512"/>
      <c r="C69" s="512"/>
      <c r="D69" s="512"/>
      <c r="E69" s="512"/>
      <c r="F69" s="288">
        <f>SUM(F59,F63,F67)/3</f>
        <v>1202.3333333333333</v>
      </c>
    </row>
    <row r="70" spans="1:7" x14ac:dyDescent="0.2">
      <c r="A70" s="474"/>
      <c r="B70" s="474"/>
      <c r="C70" s="474"/>
      <c r="D70" s="474"/>
      <c r="E70" s="474"/>
      <c r="F70" s="474"/>
    </row>
    <row r="71" spans="1:7" x14ac:dyDescent="0.2">
      <c r="A71" s="514" t="s">
        <v>737</v>
      </c>
      <c r="B71" s="514"/>
      <c r="C71" s="514"/>
      <c r="D71" s="514"/>
      <c r="E71" s="514"/>
      <c r="F71" s="514"/>
    </row>
    <row r="72" spans="1:7" x14ac:dyDescent="0.2">
      <c r="A72" s="513" t="s">
        <v>433</v>
      </c>
      <c r="B72" s="513"/>
      <c r="C72" s="513"/>
      <c r="D72" s="513"/>
      <c r="E72" s="513"/>
      <c r="F72" s="297" t="s">
        <v>422</v>
      </c>
    </row>
    <row r="73" spans="1:7" x14ac:dyDescent="0.2">
      <c r="A73" s="289"/>
      <c r="B73" s="289"/>
      <c r="C73" s="289"/>
      <c r="D73" s="289"/>
      <c r="E73" s="289"/>
      <c r="F73" s="289"/>
    </row>
    <row r="74" spans="1:7" x14ac:dyDescent="0.2">
      <c r="A74" s="525" t="s">
        <v>404</v>
      </c>
      <c r="B74" s="319" t="s">
        <v>434</v>
      </c>
      <c r="C74" s="318" t="s">
        <v>406</v>
      </c>
      <c r="D74" s="285" t="s">
        <v>407</v>
      </c>
      <c r="E74" s="318" t="s">
        <v>408</v>
      </c>
      <c r="F74" s="285" t="s">
        <v>409</v>
      </c>
      <c r="G74" s="291"/>
    </row>
    <row r="75" spans="1:7" x14ac:dyDescent="0.2">
      <c r="A75" s="525"/>
      <c r="B75" s="29" t="s">
        <v>435</v>
      </c>
      <c r="C75" s="318" t="s">
        <v>32</v>
      </c>
      <c r="D75" s="285">
        <v>1</v>
      </c>
      <c r="E75" s="286">
        <v>999</v>
      </c>
      <c r="F75" s="286">
        <f>PRODUCT(D75,E75)</f>
        <v>999</v>
      </c>
    </row>
    <row r="76" spans="1:7" x14ac:dyDescent="0.2">
      <c r="A76" s="449" t="s">
        <v>411</v>
      </c>
      <c r="B76" s="449"/>
      <c r="C76" s="449"/>
      <c r="D76" s="449"/>
      <c r="E76" s="449"/>
      <c r="F76" s="287">
        <f>F75</f>
        <v>999</v>
      </c>
    </row>
    <row r="77" spans="1:7" x14ac:dyDescent="0.2">
      <c r="A77" s="474"/>
      <c r="B77" s="474"/>
      <c r="C77" s="474"/>
      <c r="D77" s="474"/>
      <c r="E77" s="474"/>
      <c r="F77" s="474"/>
    </row>
    <row r="78" spans="1:7" x14ac:dyDescent="0.2">
      <c r="A78" s="525" t="s">
        <v>412</v>
      </c>
      <c r="B78" s="319" t="s">
        <v>425</v>
      </c>
      <c r="C78" s="318" t="s">
        <v>406</v>
      </c>
      <c r="D78" s="285" t="s">
        <v>407</v>
      </c>
      <c r="E78" s="318" t="s">
        <v>408</v>
      </c>
      <c r="F78" s="285" t="s">
        <v>409</v>
      </c>
    </row>
    <row r="79" spans="1:7" x14ac:dyDescent="0.2">
      <c r="A79" s="525"/>
      <c r="B79" s="33" t="s">
        <v>426</v>
      </c>
      <c r="C79" s="318" t="s">
        <v>32</v>
      </c>
      <c r="D79" s="285">
        <v>1</v>
      </c>
      <c r="E79" s="286">
        <v>990</v>
      </c>
      <c r="F79" s="286">
        <f>PRODUCT(D79,E79)</f>
        <v>990</v>
      </c>
    </row>
    <row r="80" spans="1:7" x14ac:dyDescent="0.2">
      <c r="A80" s="449" t="s">
        <v>415</v>
      </c>
      <c r="B80" s="449"/>
      <c r="C80" s="449"/>
      <c r="D80" s="449"/>
      <c r="E80" s="449"/>
      <c r="F80" s="287">
        <f>F79</f>
        <v>990</v>
      </c>
    </row>
    <row r="81" spans="1:7" x14ac:dyDescent="0.2">
      <c r="A81" s="474"/>
      <c r="B81" s="474"/>
      <c r="C81" s="474"/>
      <c r="D81" s="474"/>
      <c r="E81" s="474"/>
      <c r="F81" s="474"/>
    </row>
    <row r="82" spans="1:7" x14ac:dyDescent="0.2">
      <c r="A82" s="525" t="s">
        <v>416</v>
      </c>
      <c r="B82" s="319" t="s">
        <v>427</v>
      </c>
      <c r="C82" s="318" t="s">
        <v>406</v>
      </c>
      <c r="D82" s="285" t="s">
        <v>407</v>
      </c>
      <c r="E82" s="318" t="s">
        <v>408</v>
      </c>
      <c r="F82" s="285" t="s">
        <v>409</v>
      </c>
    </row>
    <row r="83" spans="1:7" x14ac:dyDescent="0.2">
      <c r="A83" s="525"/>
      <c r="B83" s="33" t="s">
        <v>428</v>
      </c>
      <c r="C83" s="318" t="s">
        <v>32</v>
      </c>
      <c r="D83" s="285">
        <v>1</v>
      </c>
      <c r="E83" s="286">
        <v>933</v>
      </c>
      <c r="F83" s="286">
        <f>PRODUCT(D83,E83)</f>
        <v>933</v>
      </c>
    </row>
    <row r="84" spans="1:7" x14ac:dyDescent="0.2">
      <c r="A84" s="449" t="s">
        <v>419</v>
      </c>
      <c r="B84" s="449"/>
      <c r="C84" s="449"/>
      <c r="D84" s="449"/>
      <c r="E84" s="449"/>
      <c r="F84" s="287">
        <f>F83</f>
        <v>933</v>
      </c>
      <c r="G84" s="8"/>
    </row>
    <row r="85" spans="1:7" x14ac:dyDescent="0.2">
      <c r="A85" s="474"/>
      <c r="B85" s="474"/>
      <c r="C85" s="474"/>
      <c r="D85" s="474"/>
      <c r="E85" s="474"/>
      <c r="F85" s="474"/>
    </row>
    <row r="86" spans="1:7" x14ac:dyDescent="0.2">
      <c r="A86" s="449" t="s">
        <v>420</v>
      </c>
      <c r="B86" s="512"/>
      <c r="C86" s="512"/>
      <c r="D86" s="512"/>
      <c r="E86" s="512"/>
      <c r="F86" s="288">
        <f>SUM(F76,F80,F84)/3</f>
        <v>974</v>
      </c>
    </row>
    <row r="87" spans="1:7" x14ac:dyDescent="0.2">
      <c r="A87" s="474"/>
      <c r="B87" s="474"/>
      <c r="C87" s="474"/>
      <c r="D87" s="474"/>
      <c r="E87" s="474"/>
      <c r="F87" s="474"/>
    </row>
    <row r="88" spans="1:7" x14ac:dyDescent="0.2">
      <c r="A88" s="514" t="s">
        <v>738</v>
      </c>
      <c r="B88" s="514"/>
      <c r="C88" s="514"/>
      <c r="D88" s="514"/>
      <c r="E88" s="514"/>
      <c r="F88" s="514"/>
    </row>
    <row r="89" spans="1:7" x14ac:dyDescent="0.2">
      <c r="A89" s="513" t="s">
        <v>436</v>
      </c>
      <c r="B89" s="513"/>
      <c r="C89" s="513"/>
      <c r="D89" s="513"/>
      <c r="E89" s="513"/>
      <c r="F89" s="297" t="s">
        <v>422</v>
      </c>
    </row>
    <row r="90" spans="1:7" x14ac:dyDescent="0.2">
      <c r="A90" s="524"/>
      <c r="B90" s="524"/>
      <c r="C90" s="524"/>
      <c r="D90" s="524"/>
      <c r="E90" s="524"/>
      <c r="F90" s="524"/>
    </row>
    <row r="91" spans="1:7" ht="25.5" x14ac:dyDescent="0.2">
      <c r="A91" s="525" t="s">
        <v>404</v>
      </c>
      <c r="B91" s="319" t="s">
        <v>437</v>
      </c>
      <c r="C91" s="318" t="s">
        <v>406</v>
      </c>
      <c r="D91" s="285" t="s">
        <v>407</v>
      </c>
      <c r="E91" s="318" t="s">
        <v>408</v>
      </c>
      <c r="F91" s="285" t="s">
        <v>409</v>
      </c>
      <c r="G91" s="291"/>
    </row>
    <row r="92" spans="1:7" x14ac:dyDescent="0.2">
      <c r="A92" s="525"/>
      <c r="B92" s="29" t="s">
        <v>438</v>
      </c>
      <c r="C92" s="318" t="s">
        <v>32</v>
      </c>
      <c r="D92" s="285">
        <v>1</v>
      </c>
      <c r="E92" s="286">
        <v>1980</v>
      </c>
      <c r="F92" s="286">
        <f>PRODUCT(D92,E92)</f>
        <v>1980</v>
      </c>
    </row>
    <row r="93" spans="1:7" x14ac:dyDescent="0.2">
      <c r="A93" s="449" t="s">
        <v>411</v>
      </c>
      <c r="B93" s="449"/>
      <c r="C93" s="449"/>
      <c r="D93" s="449"/>
      <c r="E93" s="449"/>
      <c r="F93" s="287">
        <f>F92</f>
        <v>1980</v>
      </c>
    </row>
    <row r="94" spans="1:7" x14ac:dyDescent="0.2">
      <c r="A94" s="474"/>
      <c r="B94" s="474"/>
      <c r="C94" s="474"/>
      <c r="D94" s="474"/>
      <c r="E94" s="474"/>
      <c r="F94" s="474"/>
    </row>
    <row r="95" spans="1:7" x14ac:dyDescent="0.2">
      <c r="A95" s="525" t="s">
        <v>412</v>
      </c>
      <c r="B95" s="319" t="s">
        <v>439</v>
      </c>
      <c r="C95" s="318" t="s">
        <v>406</v>
      </c>
      <c r="D95" s="285" t="s">
        <v>407</v>
      </c>
      <c r="E95" s="318" t="s">
        <v>408</v>
      </c>
      <c r="F95" s="285" t="s">
        <v>409</v>
      </c>
    </row>
    <row r="96" spans="1:7" x14ac:dyDescent="0.2">
      <c r="A96" s="525"/>
      <c r="B96" s="33" t="s">
        <v>440</v>
      </c>
      <c r="C96" s="318" t="s">
        <v>32</v>
      </c>
      <c r="D96" s="285">
        <v>1</v>
      </c>
      <c r="E96" s="286">
        <v>2100</v>
      </c>
      <c r="F96" s="286">
        <f>PRODUCT(D96,E96)</f>
        <v>2100</v>
      </c>
      <c r="G96" s="291"/>
    </row>
    <row r="97" spans="1:6" x14ac:dyDescent="0.2">
      <c r="A97" s="449" t="s">
        <v>415</v>
      </c>
      <c r="B97" s="449"/>
      <c r="C97" s="449"/>
      <c r="D97" s="449"/>
      <c r="E97" s="449"/>
      <c r="F97" s="287">
        <f>F96</f>
        <v>2100</v>
      </c>
    </row>
    <row r="98" spans="1:6" x14ac:dyDescent="0.2">
      <c r="A98" s="474"/>
      <c r="B98" s="474"/>
      <c r="C98" s="474"/>
      <c r="D98" s="474"/>
      <c r="E98" s="474"/>
      <c r="F98" s="474"/>
    </row>
    <row r="99" spans="1:6" x14ac:dyDescent="0.2">
      <c r="A99" s="525" t="s">
        <v>416</v>
      </c>
      <c r="B99" s="319" t="s">
        <v>441</v>
      </c>
      <c r="C99" s="318" t="s">
        <v>406</v>
      </c>
      <c r="D99" s="285" t="s">
        <v>407</v>
      </c>
      <c r="E99" s="318" t="s">
        <v>408</v>
      </c>
      <c r="F99" s="285" t="s">
        <v>409</v>
      </c>
    </row>
    <row r="100" spans="1:6" x14ac:dyDescent="0.2">
      <c r="A100" s="525"/>
      <c r="B100" s="33" t="s">
        <v>442</v>
      </c>
      <c r="C100" s="318" t="s">
        <v>32</v>
      </c>
      <c r="D100" s="285">
        <v>1</v>
      </c>
      <c r="E100" s="286">
        <v>1795</v>
      </c>
      <c r="F100" s="286">
        <f>PRODUCT(D100,E100)</f>
        <v>1795</v>
      </c>
    </row>
    <row r="101" spans="1:6" x14ac:dyDescent="0.2">
      <c r="A101" s="449" t="s">
        <v>419</v>
      </c>
      <c r="B101" s="449"/>
      <c r="C101" s="449"/>
      <c r="D101" s="449"/>
      <c r="E101" s="449"/>
      <c r="F101" s="287">
        <f>F100</f>
        <v>1795</v>
      </c>
    </row>
    <row r="102" spans="1:6" x14ac:dyDescent="0.2">
      <c r="A102" s="474"/>
      <c r="B102" s="474"/>
      <c r="C102" s="474"/>
      <c r="D102" s="474"/>
      <c r="E102" s="474"/>
      <c r="F102" s="474"/>
    </row>
    <row r="103" spans="1:6" x14ac:dyDescent="0.2">
      <c r="A103" s="449" t="s">
        <v>420</v>
      </c>
      <c r="B103" s="512"/>
      <c r="C103" s="512"/>
      <c r="D103" s="512"/>
      <c r="E103" s="512"/>
      <c r="F103" s="288">
        <f>SUM(F93,F97,F101)/3</f>
        <v>1958.3333333333333</v>
      </c>
    </row>
    <row r="104" spans="1:6" x14ac:dyDescent="0.2">
      <c r="A104" s="474"/>
      <c r="B104" s="474"/>
      <c r="C104" s="474"/>
      <c r="D104" s="474"/>
      <c r="E104" s="474"/>
      <c r="F104" s="474"/>
    </row>
    <row r="105" spans="1:6" x14ac:dyDescent="0.2">
      <c r="A105" s="526" t="s">
        <v>739</v>
      </c>
      <c r="B105" s="514"/>
      <c r="C105" s="514"/>
      <c r="D105" s="514"/>
      <c r="E105" s="514"/>
      <c r="F105" s="514"/>
    </row>
    <row r="106" spans="1:6" x14ac:dyDescent="0.2">
      <c r="A106" s="513" t="s">
        <v>443</v>
      </c>
      <c r="B106" s="513"/>
      <c r="C106" s="513"/>
      <c r="D106" s="513"/>
      <c r="E106" s="513"/>
      <c r="F106" s="297" t="s">
        <v>422</v>
      </c>
    </row>
    <row r="107" spans="1:6" x14ac:dyDescent="0.2">
      <c r="A107" s="289"/>
      <c r="B107" s="289"/>
      <c r="C107" s="289"/>
      <c r="D107" s="289"/>
      <c r="E107" s="289"/>
      <c r="F107" s="289"/>
    </row>
    <row r="108" spans="1:6" x14ac:dyDescent="0.2">
      <c r="A108" s="525" t="s">
        <v>404</v>
      </c>
      <c r="B108" s="319" t="s">
        <v>444</v>
      </c>
      <c r="C108" s="318" t="s">
        <v>406</v>
      </c>
      <c r="D108" s="285" t="s">
        <v>407</v>
      </c>
      <c r="E108" s="318" t="s">
        <v>408</v>
      </c>
      <c r="F108" s="285" t="s">
        <v>409</v>
      </c>
    </row>
    <row r="109" spans="1:6" x14ac:dyDescent="0.2">
      <c r="A109" s="525"/>
      <c r="B109" s="293" t="s">
        <v>445</v>
      </c>
      <c r="C109" s="318" t="s">
        <v>32</v>
      </c>
      <c r="D109" s="285">
        <v>1</v>
      </c>
      <c r="E109" s="286">
        <v>167.2</v>
      </c>
      <c r="F109" s="286">
        <f>PRODUCT(D109,E109)</f>
        <v>167.2</v>
      </c>
    </row>
    <row r="110" spans="1:6" x14ac:dyDescent="0.2">
      <c r="A110" s="449" t="s">
        <v>411</v>
      </c>
      <c r="B110" s="449"/>
      <c r="C110" s="449"/>
      <c r="D110" s="449"/>
      <c r="E110" s="449"/>
      <c r="F110" s="287">
        <f>F109</f>
        <v>167.2</v>
      </c>
    </row>
    <row r="111" spans="1:6" x14ac:dyDescent="0.2">
      <c r="A111" s="474"/>
      <c r="B111" s="474"/>
      <c r="C111" s="474"/>
      <c r="D111" s="474"/>
      <c r="E111" s="474"/>
      <c r="F111" s="474"/>
    </row>
    <row r="112" spans="1:6" x14ac:dyDescent="0.2">
      <c r="A112" s="509" t="s">
        <v>412</v>
      </c>
      <c r="B112" s="319" t="s">
        <v>446</v>
      </c>
      <c r="C112" s="318" t="s">
        <v>406</v>
      </c>
      <c r="D112" s="285" t="s">
        <v>407</v>
      </c>
      <c r="E112" s="318" t="s">
        <v>408</v>
      </c>
      <c r="F112" s="285" t="s">
        <v>409</v>
      </c>
    </row>
    <row r="113" spans="1:6" x14ac:dyDescent="0.2">
      <c r="A113" s="509"/>
      <c r="B113" s="319" t="s">
        <v>447</v>
      </c>
      <c r="C113" s="318" t="s">
        <v>32</v>
      </c>
      <c r="D113" s="285">
        <v>1</v>
      </c>
      <c r="E113" s="286">
        <v>110</v>
      </c>
      <c r="F113" s="286">
        <f>PRODUCT(D113,E113)</f>
        <v>110</v>
      </c>
    </row>
    <row r="114" spans="1:6" x14ac:dyDescent="0.2">
      <c r="A114" s="449" t="s">
        <v>448</v>
      </c>
      <c r="B114" s="449"/>
      <c r="C114" s="449"/>
      <c r="D114" s="449"/>
      <c r="E114" s="449"/>
      <c r="F114" s="287">
        <f>F113</f>
        <v>110</v>
      </c>
    </row>
    <row r="115" spans="1:6" x14ac:dyDescent="0.2">
      <c r="A115" s="474"/>
      <c r="B115" s="474"/>
      <c r="C115" s="474"/>
      <c r="D115" s="474"/>
      <c r="E115" s="474"/>
      <c r="F115" s="474"/>
    </row>
    <row r="116" spans="1:6" x14ac:dyDescent="0.2">
      <c r="A116" s="525" t="s">
        <v>416</v>
      </c>
      <c r="B116" s="319" t="s">
        <v>449</v>
      </c>
      <c r="C116" s="318" t="s">
        <v>406</v>
      </c>
      <c r="D116" s="285" t="s">
        <v>407</v>
      </c>
      <c r="E116" s="318" t="s">
        <v>408</v>
      </c>
      <c r="F116" s="285" t="s">
        <v>409</v>
      </c>
    </row>
    <row r="117" spans="1:6" x14ac:dyDescent="0.2">
      <c r="A117" s="525"/>
      <c r="B117" s="33" t="s">
        <v>450</v>
      </c>
      <c r="C117" s="318" t="s">
        <v>32</v>
      </c>
      <c r="D117" s="285">
        <v>1</v>
      </c>
      <c r="E117" s="286">
        <v>168.7</v>
      </c>
      <c r="F117" s="286">
        <f>PRODUCT(D117,E117)</f>
        <v>168.7</v>
      </c>
    </row>
    <row r="118" spans="1:6" x14ac:dyDescent="0.2">
      <c r="A118" s="449" t="s">
        <v>419</v>
      </c>
      <c r="B118" s="449"/>
      <c r="C118" s="449"/>
      <c r="D118" s="449"/>
      <c r="E118" s="449"/>
      <c r="F118" s="287">
        <f>F117</f>
        <v>168.7</v>
      </c>
    </row>
    <row r="119" spans="1:6" x14ac:dyDescent="0.2">
      <c r="A119" s="211"/>
      <c r="B119" s="211"/>
      <c r="C119" s="211"/>
      <c r="D119" s="211"/>
      <c r="E119" s="211"/>
      <c r="F119" s="211"/>
    </row>
    <row r="120" spans="1:6" x14ac:dyDescent="0.2">
      <c r="A120" s="449" t="s">
        <v>420</v>
      </c>
      <c r="B120" s="512"/>
      <c r="C120" s="512"/>
      <c r="D120" s="512"/>
      <c r="E120" s="512"/>
      <c r="F120" s="288">
        <f>SUM(F110,F114,F118)/3</f>
        <v>148.63333333333333</v>
      </c>
    </row>
    <row r="121" spans="1:6" x14ac:dyDescent="0.2">
      <c r="A121" s="477"/>
      <c r="B121" s="478"/>
      <c r="C121" s="478"/>
      <c r="D121" s="478"/>
      <c r="E121" s="478"/>
      <c r="F121" s="479"/>
    </row>
    <row r="122" spans="1:6" x14ac:dyDescent="0.2">
      <c r="A122" s="514" t="s">
        <v>740</v>
      </c>
      <c r="B122" s="514"/>
      <c r="C122" s="514"/>
      <c r="D122" s="514"/>
      <c r="E122" s="514"/>
      <c r="F122" s="514"/>
    </row>
    <row r="123" spans="1:6" x14ac:dyDescent="0.2">
      <c r="A123" s="513" t="s">
        <v>451</v>
      </c>
      <c r="B123" s="513"/>
      <c r="C123" s="513"/>
      <c r="D123" s="513"/>
      <c r="E123" s="513"/>
      <c r="F123" s="297" t="s">
        <v>403</v>
      </c>
    </row>
    <row r="124" spans="1:6" x14ac:dyDescent="0.2">
      <c r="A124" s="289"/>
      <c r="B124" s="289"/>
      <c r="C124" s="289"/>
      <c r="D124" s="289"/>
      <c r="E124" s="289"/>
      <c r="F124" s="289"/>
    </row>
    <row r="125" spans="1:6" x14ac:dyDescent="0.2">
      <c r="A125" s="509" t="s">
        <v>404</v>
      </c>
      <c r="B125" s="319" t="s">
        <v>452</v>
      </c>
      <c r="C125" s="319" t="s">
        <v>406</v>
      </c>
      <c r="D125" s="294" t="s">
        <v>407</v>
      </c>
      <c r="E125" s="319" t="s">
        <v>408</v>
      </c>
      <c r="F125" s="294" t="s">
        <v>409</v>
      </c>
    </row>
    <row r="126" spans="1:6" x14ac:dyDescent="0.2">
      <c r="A126" s="509"/>
      <c r="B126" s="33" t="s">
        <v>453</v>
      </c>
      <c r="C126" s="319" t="s">
        <v>18</v>
      </c>
      <c r="D126" s="294">
        <v>1</v>
      </c>
      <c r="E126" s="295">
        <v>230</v>
      </c>
      <c r="F126" s="295">
        <f>PRODUCT(D126,E126)</f>
        <v>230</v>
      </c>
    </row>
    <row r="127" spans="1:6" x14ac:dyDescent="0.2">
      <c r="A127" s="510" t="s">
        <v>411</v>
      </c>
      <c r="B127" s="510"/>
      <c r="C127" s="510"/>
      <c r="D127" s="510"/>
      <c r="E127" s="510"/>
      <c r="F127" s="296">
        <f>F126</f>
        <v>230</v>
      </c>
    </row>
    <row r="128" spans="1:6" x14ac:dyDescent="0.2">
      <c r="A128" s="474"/>
      <c r="B128" s="474"/>
      <c r="C128" s="474"/>
      <c r="D128" s="474"/>
      <c r="E128" s="474"/>
      <c r="F128" s="474"/>
    </row>
    <row r="129" spans="1:6" x14ac:dyDescent="0.2">
      <c r="A129" s="509" t="s">
        <v>412</v>
      </c>
      <c r="B129" s="319" t="s">
        <v>454</v>
      </c>
      <c r="C129" s="319" t="s">
        <v>406</v>
      </c>
      <c r="D129" s="294" t="s">
        <v>407</v>
      </c>
      <c r="E129" s="319" t="s">
        <v>408</v>
      </c>
      <c r="F129" s="294" t="s">
        <v>409</v>
      </c>
    </row>
    <row r="130" spans="1:6" x14ac:dyDescent="0.2">
      <c r="A130" s="509"/>
      <c r="B130" s="33" t="s">
        <v>455</v>
      </c>
      <c r="C130" s="319" t="s">
        <v>18</v>
      </c>
      <c r="D130" s="294">
        <v>1</v>
      </c>
      <c r="E130" s="295">
        <v>180.71</v>
      </c>
      <c r="F130" s="295">
        <f>PRODUCT(D130,E130)</f>
        <v>180.71</v>
      </c>
    </row>
    <row r="131" spans="1:6" x14ac:dyDescent="0.2">
      <c r="A131" s="510" t="s">
        <v>415</v>
      </c>
      <c r="B131" s="510"/>
      <c r="C131" s="510"/>
      <c r="D131" s="510"/>
      <c r="E131" s="510"/>
      <c r="F131" s="296">
        <f>F130</f>
        <v>180.71</v>
      </c>
    </row>
    <row r="132" spans="1:6" x14ac:dyDescent="0.2">
      <c r="A132" s="474"/>
      <c r="B132" s="474"/>
      <c r="C132" s="474"/>
      <c r="D132" s="474"/>
      <c r="E132" s="474"/>
      <c r="F132" s="474"/>
    </row>
    <row r="133" spans="1:6" x14ac:dyDescent="0.2">
      <c r="A133" s="509" t="s">
        <v>416</v>
      </c>
      <c r="B133" s="319" t="s">
        <v>456</v>
      </c>
      <c r="C133" s="319" t="s">
        <v>406</v>
      </c>
      <c r="D133" s="294" t="s">
        <v>407</v>
      </c>
      <c r="E133" s="319" t="s">
        <v>408</v>
      </c>
      <c r="F133" s="294" t="s">
        <v>409</v>
      </c>
    </row>
    <row r="134" spans="1:6" x14ac:dyDescent="0.2">
      <c r="A134" s="509"/>
      <c r="B134" s="33" t="s">
        <v>457</v>
      </c>
      <c r="C134" s="319" t="s">
        <v>18</v>
      </c>
      <c r="D134" s="294">
        <v>1</v>
      </c>
      <c r="E134" s="295">
        <v>179</v>
      </c>
      <c r="F134" s="295">
        <f>PRODUCT(D134,E134)</f>
        <v>179</v>
      </c>
    </row>
    <row r="135" spans="1:6" x14ac:dyDescent="0.2">
      <c r="A135" s="510" t="s">
        <v>419</v>
      </c>
      <c r="B135" s="510"/>
      <c r="C135" s="510"/>
      <c r="D135" s="510"/>
      <c r="E135" s="510"/>
      <c r="F135" s="296">
        <f>F134</f>
        <v>179</v>
      </c>
    </row>
    <row r="136" spans="1:6" x14ac:dyDescent="0.2">
      <c r="A136" s="511"/>
      <c r="B136" s="511"/>
      <c r="C136" s="511"/>
      <c r="D136" s="511"/>
      <c r="E136" s="511"/>
      <c r="F136" s="511"/>
    </row>
    <row r="137" spans="1:6" x14ac:dyDescent="0.2">
      <c r="A137" s="449" t="s">
        <v>420</v>
      </c>
      <c r="B137" s="512"/>
      <c r="C137" s="512"/>
      <c r="D137" s="512"/>
      <c r="E137" s="512"/>
      <c r="F137" s="288">
        <f>SUM(F127,F131,F135)/3</f>
        <v>196.57000000000002</v>
      </c>
    </row>
    <row r="138" spans="1:6" x14ac:dyDescent="0.2">
      <c r="A138" s="524"/>
      <c r="B138" s="524"/>
      <c r="C138" s="524"/>
      <c r="D138" s="524"/>
      <c r="E138" s="524"/>
      <c r="F138" s="524"/>
    </row>
    <row r="139" spans="1:6" x14ac:dyDescent="0.2">
      <c r="A139" s="514" t="s">
        <v>741</v>
      </c>
      <c r="B139" s="514"/>
      <c r="C139" s="514"/>
      <c r="D139" s="514"/>
      <c r="E139" s="514"/>
      <c r="F139" s="514"/>
    </row>
    <row r="140" spans="1:6" x14ac:dyDescent="0.2">
      <c r="A140" s="513" t="s">
        <v>458</v>
      </c>
      <c r="B140" s="513"/>
      <c r="C140" s="513"/>
      <c r="D140" s="513"/>
      <c r="E140" s="513"/>
      <c r="F140" s="297" t="s">
        <v>422</v>
      </c>
    </row>
    <row r="141" spans="1:6" x14ac:dyDescent="0.2">
      <c r="A141" s="289"/>
      <c r="B141" s="289"/>
      <c r="C141" s="289"/>
      <c r="D141" s="289"/>
      <c r="E141" s="289"/>
      <c r="F141" s="289"/>
    </row>
    <row r="142" spans="1:6" x14ac:dyDescent="0.2">
      <c r="A142" s="509" t="s">
        <v>404</v>
      </c>
      <c r="B142" s="319" t="s">
        <v>459</v>
      </c>
      <c r="C142" s="319" t="s">
        <v>406</v>
      </c>
      <c r="D142" s="294" t="s">
        <v>407</v>
      </c>
      <c r="E142" s="319" t="s">
        <v>408</v>
      </c>
      <c r="F142" s="294" t="s">
        <v>409</v>
      </c>
    </row>
    <row r="143" spans="1:6" x14ac:dyDescent="0.2">
      <c r="A143" s="509"/>
      <c r="B143" s="33" t="s">
        <v>460</v>
      </c>
      <c r="C143" s="319" t="s">
        <v>32</v>
      </c>
      <c r="D143" s="294">
        <v>1</v>
      </c>
      <c r="E143" s="295">
        <v>770.18</v>
      </c>
      <c r="F143" s="295">
        <f>PRODUCT(D143,E143)</f>
        <v>770.18</v>
      </c>
    </row>
    <row r="144" spans="1:6" x14ac:dyDescent="0.2">
      <c r="A144" s="510" t="s">
        <v>411</v>
      </c>
      <c r="B144" s="510"/>
      <c r="C144" s="510"/>
      <c r="D144" s="510"/>
      <c r="E144" s="510"/>
      <c r="F144" s="296">
        <f>F143</f>
        <v>770.18</v>
      </c>
    </row>
    <row r="145" spans="1:6" x14ac:dyDescent="0.2">
      <c r="A145" s="474"/>
      <c r="B145" s="474"/>
      <c r="C145" s="474"/>
      <c r="D145" s="474"/>
      <c r="E145" s="474"/>
      <c r="F145" s="474"/>
    </row>
    <row r="146" spans="1:6" x14ac:dyDescent="0.2">
      <c r="A146" s="509" t="s">
        <v>412</v>
      </c>
      <c r="B146" s="319" t="s">
        <v>461</v>
      </c>
      <c r="C146" s="319" t="s">
        <v>406</v>
      </c>
      <c r="D146" s="294" t="s">
        <v>407</v>
      </c>
      <c r="E146" s="319" t="s">
        <v>408</v>
      </c>
      <c r="F146" s="294" t="s">
        <v>409</v>
      </c>
    </row>
    <row r="147" spans="1:6" x14ac:dyDescent="0.2">
      <c r="A147" s="509"/>
      <c r="B147" s="33" t="s">
        <v>462</v>
      </c>
      <c r="C147" s="319" t="s">
        <v>32</v>
      </c>
      <c r="D147" s="294">
        <v>1</v>
      </c>
      <c r="E147" s="295">
        <v>577</v>
      </c>
      <c r="F147" s="295">
        <f>PRODUCT(D147,E147)</f>
        <v>577</v>
      </c>
    </row>
    <row r="148" spans="1:6" x14ac:dyDescent="0.2">
      <c r="A148" s="510" t="s">
        <v>415</v>
      </c>
      <c r="B148" s="510"/>
      <c r="C148" s="510"/>
      <c r="D148" s="510"/>
      <c r="E148" s="510"/>
      <c r="F148" s="296">
        <f>F147</f>
        <v>577</v>
      </c>
    </row>
    <row r="149" spans="1:6" x14ac:dyDescent="0.2">
      <c r="A149" s="474"/>
      <c r="B149" s="474"/>
      <c r="C149" s="474"/>
      <c r="D149" s="474"/>
      <c r="E149" s="474"/>
      <c r="F149" s="474"/>
    </row>
    <row r="150" spans="1:6" x14ac:dyDescent="0.2">
      <c r="A150" s="509" t="s">
        <v>416</v>
      </c>
      <c r="B150" s="319" t="s">
        <v>463</v>
      </c>
      <c r="C150" s="319" t="s">
        <v>406</v>
      </c>
      <c r="D150" s="294" t="s">
        <v>407</v>
      </c>
      <c r="E150" s="319" t="s">
        <v>408</v>
      </c>
      <c r="F150" s="294" t="s">
        <v>409</v>
      </c>
    </row>
    <row r="151" spans="1:6" x14ac:dyDescent="0.2">
      <c r="A151" s="509"/>
      <c r="B151" s="33" t="s">
        <v>464</v>
      </c>
      <c r="C151" s="319" t="s">
        <v>32</v>
      </c>
      <c r="D151" s="294">
        <v>1</v>
      </c>
      <c r="E151" s="295">
        <v>717</v>
      </c>
      <c r="F151" s="295">
        <f>PRODUCT(D151,E151)</f>
        <v>717</v>
      </c>
    </row>
    <row r="152" spans="1:6" x14ac:dyDescent="0.2">
      <c r="A152" s="510" t="s">
        <v>419</v>
      </c>
      <c r="B152" s="510"/>
      <c r="C152" s="510"/>
      <c r="D152" s="510"/>
      <c r="E152" s="510"/>
      <c r="F152" s="296">
        <f>F151</f>
        <v>717</v>
      </c>
    </row>
    <row r="153" spans="1:6" x14ac:dyDescent="0.2">
      <c r="A153" s="511"/>
      <c r="B153" s="511"/>
      <c r="C153" s="511"/>
      <c r="D153" s="511"/>
      <c r="E153" s="511"/>
      <c r="F153" s="511"/>
    </row>
    <row r="154" spans="1:6" x14ac:dyDescent="0.2">
      <c r="A154" s="449" t="s">
        <v>420</v>
      </c>
      <c r="B154" s="512"/>
      <c r="C154" s="512"/>
      <c r="D154" s="512"/>
      <c r="E154" s="512"/>
      <c r="F154" s="288">
        <f>SUM(F144,F148,F152)/3</f>
        <v>688.06</v>
      </c>
    </row>
    <row r="155" spans="1:6" x14ac:dyDescent="0.2">
      <c r="A155" s="524"/>
      <c r="B155" s="524"/>
      <c r="C155" s="524"/>
      <c r="D155" s="524"/>
      <c r="E155" s="524"/>
      <c r="F155" s="524"/>
    </row>
    <row r="156" spans="1:6" x14ac:dyDescent="0.2">
      <c r="A156" s="514" t="s">
        <v>742</v>
      </c>
      <c r="B156" s="514"/>
      <c r="C156" s="514"/>
      <c r="D156" s="514"/>
      <c r="E156" s="514"/>
      <c r="F156" s="514"/>
    </row>
    <row r="157" spans="1:6" x14ac:dyDescent="0.2">
      <c r="A157" s="513" t="s">
        <v>465</v>
      </c>
      <c r="B157" s="513"/>
      <c r="C157" s="513"/>
      <c r="D157" s="513"/>
      <c r="E157" s="513"/>
      <c r="F157" s="297" t="s">
        <v>422</v>
      </c>
    </row>
    <row r="158" spans="1:6" x14ac:dyDescent="0.2">
      <c r="A158" s="289"/>
      <c r="B158" s="289"/>
      <c r="C158" s="289"/>
      <c r="D158" s="289"/>
      <c r="E158" s="289"/>
      <c r="F158" s="289"/>
    </row>
    <row r="159" spans="1:6" x14ac:dyDescent="0.2">
      <c r="A159" s="509" t="s">
        <v>404</v>
      </c>
      <c r="B159" s="319" t="s">
        <v>466</v>
      </c>
      <c r="C159" s="319" t="s">
        <v>406</v>
      </c>
      <c r="D159" s="294" t="s">
        <v>407</v>
      </c>
      <c r="E159" s="319" t="s">
        <v>408</v>
      </c>
      <c r="F159" s="294" t="s">
        <v>409</v>
      </c>
    </row>
    <row r="160" spans="1:6" x14ac:dyDescent="0.2">
      <c r="A160" s="509"/>
      <c r="B160" s="33" t="s">
        <v>467</v>
      </c>
      <c r="C160" s="319" t="s">
        <v>32</v>
      </c>
      <c r="D160" s="294">
        <v>1</v>
      </c>
      <c r="E160" s="295">
        <v>280</v>
      </c>
      <c r="F160" s="295">
        <f>PRODUCT(D160,E160)</f>
        <v>280</v>
      </c>
    </row>
    <row r="161" spans="1:6" x14ac:dyDescent="0.2">
      <c r="A161" s="510" t="s">
        <v>411</v>
      </c>
      <c r="B161" s="510"/>
      <c r="C161" s="510"/>
      <c r="D161" s="510"/>
      <c r="E161" s="510"/>
      <c r="F161" s="296">
        <f>F160</f>
        <v>280</v>
      </c>
    </row>
    <row r="162" spans="1:6" x14ac:dyDescent="0.2">
      <c r="A162" s="474"/>
      <c r="B162" s="474"/>
      <c r="C162" s="474"/>
      <c r="D162" s="474"/>
      <c r="E162" s="474"/>
      <c r="F162" s="474"/>
    </row>
    <row r="163" spans="1:6" x14ac:dyDescent="0.2">
      <c r="A163" s="509" t="s">
        <v>412</v>
      </c>
      <c r="B163" s="319" t="s">
        <v>461</v>
      </c>
      <c r="C163" s="319" t="s">
        <v>406</v>
      </c>
      <c r="D163" s="294" t="s">
        <v>407</v>
      </c>
      <c r="E163" s="319" t="s">
        <v>408</v>
      </c>
      <c r="F163" s="294" t="s">
        <v>409</v>
      </c>
    </row>
    <row r="164" spans="1:6" x14ac:dyDescent="0.2">
      <c r="A164" s="509"/>
      <c r="B164" s="33" t="s">
        <v>462</v>
      </c>
      <c r="C164" s="319" t="s">
        <v>32</v>
      </c>
      <c r="D164" s="294">
        <v>1</v>
      </c>
      <c r="E164" s="295">
        <v>176.9</v>
      </c>
      <c r="F164" s="295">
        <f>PRODUCT(D164,E164)</f>
        <v>176.9</v>
      </c>
    </row>
    <row r="165" spans="1:6" x14ac:dyDescent="0.2">
      <c r="A165" s="510" t="s">
        <v>415</v>
      </c>
      <c r="B165" s="510"/>
      <c r="C165" s="510"/>
      <c r="D165" s="510"/>
      <c r="E165" s="510"/>
      <c r="F165" s="296">
        <f>F164</f>
        <v>176.9</v>
      </c>
    </row>
    <row r="166" spans="1:6" x14ac:dyDescent="0.2">
      <c r="A166" s="474"/>
      <c r="B166" s="474"/>
      <c r="C166" s="474"/>
      <c r="D166" s="474"/>
      <c r="E166" s="474"/>
      <c r="F166" s="474"/>
    </row>
    <row r="167" spans="1:6" x14ac:dyDescent="0.2">
      <c r="A167" s="509" t="s">
        <v>416</v>
      </c>
      <c r="B167" s="319" t="s">
        <v>463</v>
      </c>
      <c r="C167" s="319" t="s">
        <v>406</v>
      </c>
      <c r="D167" s="294" t="s">
        <v>407</v>
      </c>
      <c r="E167" s="319" t="s">
        <v>408</v>
      </c>
      <c r="F167" s="294" t="s">
        <v>409</v>
      </c>
    </row>
    <row r="168" spans="1:6" x14ac:dyDescent="0.2">
      <c r="A168" s="509"/>
      <c r="B168" s="33" t="s">
        <v>464</v>
      </c>
      <c r="C168" s="319" t="s">
        <v>32</v>
      </c>
      <c r="D168" s="294">
        <v>1</v>
      </c>
      <c r="E168" s="295">
        <v>224.46</v>
      </c>
      <c r="F168" s="295">
        <f>PRODUCT(D168,E168)</f>
        <v>224.46</v>
      </c>
    </row>
    <row r="169" spans="1:6" x14ac:dyDescent="0.2">
      <c r="A169" s="510" t="s">
        <v>419</v>
      </c>
      <c r="B169" s="510"/>
      <c r="C169" s="510"/>
      <c r="D169" s="510"/>
      <c r="E169" s="510"/>
      <c r="F169" s="296">
        <f>F168</f>
        <v>224.46</v>
      </c>
    </row>
    <row r="170" spans="1:6" x14ac:dyDescent="0.2">
      <c r="A170" s="511"/>
      <c r="B170" s="511"/>
      <c r="C170" s="511"/>
      <c r="D170" s="511"/>
      <c r="E170" s="511"/>
      <c r="F170" s="511"/>
    </row>
    <row r="171" spans="1:6" x14ac:dyDescent="0.2">
      <c r="A171" s="449" t="s">
        <v>420</v>
      </c>
      <c r="B171" s="512"/>
      <c r="C171" s="512"/>
      <c r="D171" s="512"/>
      <c r="E171" s="512"/>
      <c r="F171" s="288">
        <f>SUM(F161,F165,F169)/3</f>
        <v>227.12</v>
      </c>
    </row>
    <row r="172" spans="1:6" x14ac:dyDescent="0.2">
      <c r="A172" s="515"/>
      <c r="B172" s="516"/>
      <c r="C172" s="516"/>
      <c r="D172" s="516"/>
      <c r="E172" s="516"/>
      <c r="F172" s="517"/>
    </row>
    <row r="173" spans="1:6" x14ac:dyDescent="0.2">
      <c r="A173" s="518" t="s">
        <v>743</v>
      </c>
      <c r="B173" s="519"/>
      <c r="C173" s="519"/>
      <c r="D173" s="519"/>
      <c r="E173" s="519"/>
      <c r="F173" s="520"/>
    </row>
    <row r="174" spans="1:6" x14ac:dyDescent="0.2">
      <c r="A174" s="521" t="s">
        <v>468</v>
      </c>
      <c r="B174" s="522"/>
      <c r="C174" s="522"/>
      <c r="D174" s="522"/>
      <c r="E174" s="523"/>
      <c r="F174" s="297" t="s">
        <v>422</v>
      </c>
    </row>
    <row r="175" spans="1:6" x14ac:dyDescent="0.2">
      <c r="A175" s="289"/>
      <c r="B175" s="289"/>
      <c r="C175" s="289"/>
      <c r="D175" s="289"/>
      <c r="E175" s="289"/>
      <c r="F175" s="289"/>
    </row>
    <row r="176" spans="1:6" x14ac:dyDescent="0.2">
      <c r="A176" s="509" t="s">
        <v>404</v>
      </c>
      <c r="B176" s="319" t="s">
        <v>466</v>
      </c>
      <c r="C176" s="319" t="s">
        <v>406</v>
      </c>
      <c r="D176" s="294" t="s">
        <v>407</v>
      </c>
      <c r="E176" s="319" t="s">
        <v>408</v>
      </c>
      <c r="F176" s="294" t="s">
        <v>409</v>
      </c>
    </row>
    <row r="177" spans="1:6" x14ac:dyDescent="0.2">
      <c r="A177" s="509"/>
      <c r="B177" s="33" t="s">
        <v>467</v>
      </c>
      <c r="C177" s="319" t="s">
        <v>32</v>
      </c>
      <c r="D177" s="294">
        <v>1</v>
      </c>
      <c r="E177" s="295">
        <v>210</v>
      </c>
      <c r="F177" s="295">
        <f>PRODUCT(D177,E177)</f>
        <v>210</v>
      </c>
    </row>
    <row r="178" spans="1:6" x14ac:dyDescent="0.2">
      <c r="A178" s="510" t="s">
        <v>411</v>
      </c>
      <c r="B178" s="510"/>
      <c r="C178" s="510"/>
      <c r="D178" s="510"/>
      <c r="E178" s="510"/>
      <c r="F178" s="296">
        <f>F177</f>
        <v>210</v>
      </c>
    </row>
    <row r="179" spans="1:6" x14ac:dyDescent="0.2">
      <c r="A179" s="474"/>
      <c r="B179" s="474"/>
      <c r="C179" s="474"/>
      <c r="D179" s="474"/>
      <c r="E179" s="474"/>
      <c r="F179" s="474"/>
    </row>
    <row r="180" spans="1:6" x14ac:dyDescent="0.2">
      <c r="A180" s="509" t="s">
        <v>469</v>
      </c>
      <c r="B180" s="319" t="s">
        <v>461</v>
      </c>
      <c r="C180" s="319" t="s">
        <v>406</v>
      </c>
      <c r="D180" s="294" t="s">
        <v>407</v>
      </c>
      <c r="E180" s="319" t="s">
        <v>408</v>
      </c>
      <c r="F180" s="294" t="s">
        <v>409</v>
      </c>
    </row>
    <row r="181" spans="1:6" x14ac:dyDescent="0.2">
      <c r="A181" s="509"/>
      <c r="B181" s="33" t="s">
        <v>462</v>
      </c>
      <c r="C181" s="319" t="s">
        <v>32</v>
      </c>
      <c r="D181" s="294">
        <v>1</v>
      </c>
      <c r="E181" s="295">
        <v>138</v>
      </c>
      <c r="F181" s="295">
        <f>PRODUCT(D181,E181)</f>
        <v>138</v>
      </c>
    </row>
    <row r="182" spans="1:6" x14ac:dyDescent="0.2">
      <c r="A182" s="510" t="s">
        <v>415</v>
      </c>
      <c r="B182" s="510"/>
      <c r="C182" s="510"/>
      <c r="D182" s="510"/>
      <c r="E182" s="510"/>
      <c r="F182" s="296">
        <f>F181</f>
        <v>138</v>
      </c>
    </row>
    <row r="183" spans="1:6" x14ac:dyDescent="0.2">
      <c r="A183" s="474"/>
      <c r="B183" s="474"/>
      <c r="C183" s="474"/>
      <c r="D183" s="474"/>
      <c r="E183" s="474"/>
      <c r="F183" s="474"/>
    </row>
    <row r="184" spans="1:6" x14ac:dyDescent="0.2">
      <c r="A184" s="509" t="s">
        <v>470</v>
      </c>
      <c r="B184" s="319" t="s">
        <v>463</v>
      </c>
      <c r="C184" s="319" t="s">
        <v>406</v>
      </c>
      <c r="D184" s="294" t="s">
        <v>407</v>
      </c>
      <c r="E184" s="319" t="s">
        <v>408</v>
      </c>
      <c r="F184" s="294" t="s">
        <v>409</v>
      </c>
    </row>
    <row r="185" spans="1:6" x14ac:dyDescent="0.2">
      <c r="A185" s="509"/>
      <c r="B185" s="33" t="s">
        <v>464</v>
      </c>
      <c r="C185" s="319" t="s">
        <v>32</v>
      </c>
      <c r="D185" s="294">
        <v>1</v>
      </c>
      <c r="E185" s="295">
        <v>211.63</v>
      </c>
      <c r="F185" s="295">
        <f>PRODUCT(D185,E185)</f>
        <v>211.63</v>
      </c>
    </row>
    <row r="186" spans="1:6" x14ac:dyDescent="0.2">
      <c r="A186" s="510" t="s">
        <v>419</v>
      </c>
      <c r="B186" s="510"/>
      <c r="C186" s="510"/>
      <c r="D186" s="510"/>
      <c r="E186" s="510"/>
      <c r="F186" s="296">
        <f>F185</f>
        <v>211.63</v>
      </c>
    </row>
    <row r="187" spans="1:6" x14ac:dyDescent="0.2">
      <c r="A187" s="511"/>
      <c r="B187" s="511"/>
      <c r="C187" s="511"/>
      <c r="D187" s="511"/>
      <c r="E187" s="511"/>
      <c r="F187" s="511"/>
    </row>
    <row r="188" spans="1:6" x14ac:dyDescent="0.2">
      <c r="A188" s="449" t="s">
        <v>420</v>
      </c>
      <c r="B188" s="512"/>
      <c r="C188" s="512"/>
      <c r="D188" s="512"/>
      <c r="E188" s="512"/>
      <c r="F188" s="288">
        <f>SUM(F178,F182,F186)/3</f>
        <v>186.54333333333332</v>
      </c>
    </row>
    <row r="189" spans="1:6" x14ac:dyDescent="0.2">
      <c r="A189" s="477"/>
      <c r="B189" s="478"/>
      <c r="C189" s="478"/>
      <c r="D189" s="478"/>
      <c r="E189" s="478"/>
      <c r="F189" s="479"/>
    </row>
    <row r="190" spans="1:6" x14ac:dyDescent="0.2">
      <c r="A190" s="514" t="s">
        <v>744</v>
      </c>
      <c r="B190" s="514"/>
      <c r="C190" s="514"/>
      <c r="D190" s="514"/>
      <c r="E190" s="514"/>
      <c r="F190" s="514"/>
    </row>
    <row r="191" spans="1:6" x14ac:dyDescent="0.2">
      <c r="A191" s="513" t="s">
        <v>471</v>
      </c>
      <c r="B191" s="513"/>
      <c r="C191" s="513"/>
      <c r="D191" s="513"/>
      <c r="E191" s="513"/>
      <c r="F191" s="297" t="s">
        <v>422</v>
      </c>
    </row>
    <row r="192" spans="1:6" x14ac:dyDescent="0.2">
      <c r="A192" s="289"/>
      <c r="B192" s="289"/>
      <c r="C192" s="289"/>
      <c r="D192" s="289"/>
      <c r="E192" s="289"/>
      <c r="F192" s="289"/>
    </row>
    <row r="193" spans="1:6" x14ac:dyDescent="0.2">
      <c r="A193" s="509" t="s">
        <v>404</v>
      </c>
      <c r="B193" s="319" t="s">
        <v>472</v>
      </c>
      <c r="C193" s="319" t="s">
        <v>406</v>
      </c>
      <c r="D193" s="294" t="s">
        <v>407</v>
      </c>
      <c r="E193" s="319" t="s">
        <v>408</v>
      </c>
      <c r="F193" s="294" t="s">
        <v>409</v>
      </c>
    </row>
    <row r="194" spans="1:6" x14ac:dyDescent="0.2">
      <c r="A194" s="509"/>
      <c r="B194" s="33" t="s">
        <v>473</v>
      </c>
      <c r="C194" s="319" t="s">
        <v>32</v>
      </c>
      <c r="D194" s="294">
        <v>1</v>
      </c>
      <c r="E194" s="295">
        <v>227</v>
      </c>
      <c r="F194" s="295">
        <f>PRODUCT(D194,E194)</f>
        <v>227</v>
      </c>
    </row>
    <row r="195" spans="1:6" x14ac:dyDescent="0.2">
      <c r="A195" s="510" t="s">
        <v>411</v>
      </c>
      <c r="B195" s="510"/>
      <c r="C195" s="510"/>
      <c r="D195" s="510"/>
      <c r="E195" s="510"/>
      <c r="F195" s="296">
        <f>F194</f>
        <v>227</v>
      </c>
    </row>
    <row r="196" spans="1:6" x14ac:dyDescent="0.2">
      <c r="A196" s="474"/>
      <c r="B196" s="474"/>
      <c r="C196" s="474"/>
      <c r="D196" s="474"/>
      <c r="E196" s="474"/>
      <c r="F196" s="474"/>
    </row>
    <row r="197" spans="1:6" x14ac:dyDescent="0.2">
      <c r="A197" s="509" t="s">
        <v>412</v>
      </c>
      <c r="B197" s="319" t="s">
        <v>474</v>
      </c>
      <c r="C197" s="319" t="s">
        <v>406</v>
      </c>
      <c r="D197" s="294" t="s">
        <v>407</v>
      </c>
      <c r="E197" s="319" t="s">
        <v>408</v>
      </c>
      <c r="F197" s="294" t="s">
        <v>409</v>
      </c>
    </row>
    <row r="198" spans="1:6" x14ac:dyDescent="0.2">
      <c r="A198" s="509"/>
      <c r="B198" s="33" t="s">
        <v>475</v>
      </c>
      <c r="C198" s="319" t="s">
        <v>32</v>
      </c>
      <c r="D198" s="294">
        <v>1</v>
      </c>
      <c r="E198" s="295">
        <v>239.9</v>
      </c>
      <c r="F198" s="295">
        <f>PRODUCT(D198,E198)</f>
        <v>239.9</v>
      </c>
    </row>
    <row r="199" spans="1:6" x14ac:dyDescent="0.2">
      <c r="A199" s="510" t="s">
        <v>415</v>
      </c>
      <c r="B199" s="510"/>
      <c r="C199" s="510"/>
      <c r="D199" s="510"/>
      <c r="E199" s="510"/>
      <c r="F199" s="296">
        <f>F198</f>
        <v>239.9</v>
      </c>
    </row>
    <row r="200" spans="1:6" x14ac:dyDescent="0.2">
      <c r="A200" s="474"/>
      <c r="B200" s="474"/>
      <c r="C200" s="474"/>
      <c r="D200" s="474"/>
      <c r="E200" s="474"/>
      <c r="F200" s="474"/>
    </row>
    <row r="201" spans="1:6" x14ac:dyDescent="0.2">
      <c r="A201" s="509" t="s">
        <v>416</v>
      </c>
      <c r="B201" s="319" t="s">
        <v>476</v>
      </c>
      <c r="C201" s="319" t="s">
        <v>406</v>
      </c>
      <c r="D201" s="294" t="s">
        <v>407</v>
      </c>
      <c r="E201" s="319" t="s">
        <v>408</v>
      </c>
      <c r="F201" s="294" t="s">
        <v>409</v>
      </c>
    </row>
    <row r="202" spans="1:6" x14ac:dyDescent="0.2">
      <c r="A202" s="509"/>
      <c r="B202" s="33" t="s">
        <v>477</v>
      </c>
      <c r="C202" s="319" t="s">
        <v>32</v>
      </c>
      <c r="D202" s="294">
        <v>1</v>
      </c>
      <c r="E202" s="295">
        <v>259</v>
      </c>
      <c r="F202" s="295">
        <f>PRODUCT(D202,E202)</f>
        <v>259</v>
      </c>
    </row>
    <row r="203" spans="1:6" x14ac:dyDescent="0.2">
      <c r="A203" s="510" t="s">
        <v>419</v>
      </c>
      <c r="B203" s="510"/>
      <c r="C203" s="510"/>
      <c r="D203" s="510"/>
      <c r="E203" s="510"/>
      <c r="F203" s="296">
        <f>F202</f>
        <v>259</v>
      </c>
    </row>
    <row r="204" spans="1:6" x14ac:dyDescent="0.2">
      <c r="A204" s="511"/>
      <c r="B204" s="511"/>
      <c r="C204" s="511"/>
      <c r="D204" s="511"/>
      <c r="E204" s="511"/>
      <c r="F204" s="511"/>
    </row>
    <row r="205" spans="1:6" x14ac:dyDescent="0.2">
      <c r="A205" s="449" t="s">
        <v>420</v>
      </c>
      <c r="B205" s="512"/>
      <c r="C205" s="512"/>
      <c r="D205" s="512"/>
      <c r="E205" s="512"/>
      <c r="F205" s="288">
        <f>SUM(F195,F199,F203)/3</f>
        <v>241.96666666666667</v>
      </c>
    </row>
  </sheetData>
  <mergeCells count="159">
    <mergeCell ref="G6:H18"/>
    <mergeCell ref="A8:E8"/>
    <mergeCell ref="A9:F9"/>
    <mergeCell ref="A10:A11"/>
    <mergeCell ref="A12:E12"/>
    <mergeCell ref="A13:F13"/>
    <mergeCell ref="A14:A15"/>
    <mergeCell ref="A16:E16"/>
    <mergeCell ref="A17:F17"/>
    <mergeCell ref="A18:E18"/>
    <mergeCell ref="A1:F1"/>
    <mergeCell ref="A27:A28"/>
    <mergeCell ref="A29:E29"/>
    <mergeCell ref="A30:F30"/>
    <mergeCell ref="A31:A32"/>
    <mergeCell ref="A33:E33"/>
    <mergeCell ref="A34:F34"/>
    <mergeCell ref="A19:F19"/>
    <mergeCell ref="A20:F20"/>
    <mergeCell ref="A21:E21"/>
    <mergeCell ref="A23:A24"/>
    <mergeCell ref="A25:E25"/>
    <mergeCell ref="A26:F26"/>
    <mergeCell ref="A2:F2"/>
    <mergeCell ref="A3:F3"/>
    <mergeCell ref="A4:E4"/>
    <mergeCell ref="A5:F5"/>
    <mergeCell ref="A6:A7"/>
    <mergeCell ref="A43:F43"/>
    <mergeCell ref="A44:A45"/>
    <mergeCell ref="A46:E46"/>
    <mergeCell ref="A47:F47"/>
    <mergeCell ref="A48:A49"/>
    <mergeCell ref="A50:E50"/>
    <mergeCell ref="A35:E35"/>
    <mergeCell ref="A36:F36"/>
    <mergeCell ref="A37:F37"/>
    <mergeCell ref="A38:E38"/>
    <mergeCell ref="A40:A41"/>
    <mergeCell ref="A42:E42"/>
    <mergeCell ref="A59:E59"/>
    <mergeCell ref="A60:F60"/>
    <mergeCell ref="A61:A62"/>
    <mergeCell ref="A63:E63"/>
    <mergeCell ref="A64:F64"/>
    <mergeCell ref="A65:A66"/>
    <mergeCell ref="A51:F51"/>
    <mergeCell ref="A52:E52"/>
    <mergeCell ref="A53:F53"/>
    <mergeCell ref="A54:F54"/>
    <mergeCell ref="A55:E55"/>
    <mergeCell ref="A57:A58"/>
    <mergeCell ref="A74:A75"/>
    <mergeCell ref="A76:E76"/>
    <mergeCell ref="A77:F77"/>
    <mergeCell ref="A78:A79"/>
    <mergeCell ref="A80:E80"/>
    <mergeCell ref="A81:F81"/>
    <mergeCell ref="A67:E67"/>
    <mergeCell ref="A68:F68"/>
    <mergeCell ref="A69:E69"/>
    <mergeCell ref="A70:F70"/>
    <mergeCell ref="A71:F71"/>
    <mergeCell ref="A72:E72"/>
    <mergeCell ref="A89:E89"/>
    <mergeCell ref="A90:F90"/>
    <mergeCell ref="A91:A92"/>
    <mergeCell ref="A93:E93"/>
    <mergeCell ref="A94:F94"/>
    <mergeCell ref="A95:A96"/>
    <mergeCell ref="A82:A83"/>
    <mergeCell ref="A84:E84"/>
    <mergeCell ref="A85:F85"/>
    <mergeCell ref="A86:E86"/>
    <mergeCell ref="A87:F87"/>
    <mergeCell ref="A88:F88"/>
    <mergeCell ref="A104:F104"/>
    <mergeCell ref="A105:F105"/>
    <mergeCell ref="A106:E106"/>
    <mergeCell ref="A108:A109"/>
    <mergeCell ref="A110:E110"/>
    <mergeCell ref="A111:F111"/>
    <mergeCell ref="A97:E97"/>
    <mergeCell ref="A98:F98"/>
    <mergeCell ref="A99:A100"/>
    <mergeCell ref="A101:E101"/>
    <mergeCell ref="A102:F102"/>
    <mergeCell ref="A103:E103"/>
    <mergeCell ref="A121:F121"/>
    <mergeCell ref="A122:F122"/>
    <mergeCell ref="A123:E123"/>
    <mergeCell ref="A125:A126"/>
    <mergeCell ref="A127:E127"/>
    <mergeCell ref="A128:F128"/>
    <mergeCell ref="A112:A113"/>
    <mergeCell ref="A114:E114"/>
    <mergeCell ref="A115:F115"/>
    <mergeCell ref="A116:A117"/>
    <mergeCell ref="A118:E118"/>
    <mergeCell ref="A120:E120"/>
    <mergeCell ref="A137:E137"/>
    <mergeCell ref="A138:F138"/>
    <mergeCell ref="A139:F139"/>
    <mergeCell ref="A140:E140"/>
    <mergeCell ref="A142:A143"/>
    <mergeCell ref="A144:E144"/>
    <mergeCell ref="A129:A130"/>
    <mergeCell ref="A131:E131"/>
    <mergeCell ref="A132:F132"/>
    <mergeCell ref="A133:A134"/>
    <mergeCell ref="A135:E135"/>
    <mergeCell ref="A136:F136"/>
    <mergeCell ref="A153:F153"/>
    <mergeCell ref="A154:E154"/>
    <mergeCell ref="A155:F155"/>
    <mergeCell ref="A156:F156"/>
    <mergeCell ref="A157:E157"/>
    <mergeCell ref="A159:A160"/>
    <mergeCell ref="A145:F145"/>
    <mergeCell ref="A146:A147"/>
    <mergeCell ref="A148:E148"/>
    <mergeCell ref="A149:F149"/>
    <mergeCell ref="A150:A151"/>
    <mergeCell ref="A152:E152"/>
    <mergeCell ref="A169:E169"/>
    <mergeCell ref="A170:F170"/>
    <mergeCell ref="A171:E171"/>
    <mergeCell ref="A172:F172"/>
    <mergeCell ref="A173:F173"/>
    <mergeCell ref="A174:E174"/>
    <mergeCell ref="A161:E161"/>
    <mergeCell ref="A162:F162"/>
    <mergeCell ref="A163:A164"/>
    <mergeCell ref="A165:E165"/>
    <mergeCell ref="A166:F166"/>
    <mergeCell ref="A167:A168"/>
    <mergeCell ref="A184:A185"/>
    <mergeCell ref="A186:E186"/>
    <mergeCell ref="A187:F187"/>
    <mergeCell ref="A188:E188"/>
    <mergeCell ref="A189:F189"/>
    <mergeCell ref="A190:F190"/>
    <mergeCell ref="A176:A177"/>
    <mergeCell ref="A178:E178"/>
    <mergeCell ref="A179:F179"/>
    <mergeCell ref="A180:A181"/>
    <mergeCell ref="A182:E182"/>
    <mergeCell ref="A183:F183"/>
    <mergeCell ref="A200:F200"/>
    <mergeCell ref="A201:A202"/>
    <mergeCell ref="A203:E203"/>
    <mergeCell ref="A204:F204"/>
    <mergeCell ref="A205:E205"/>
    <mergeCell ref="A191:E191"/>
    <mergeCell ref="A193:A194"/>
    <mergeCell ref="A195:E195"/>
    <mergeCell ref="A196:F196"/>
    <mergeCell ref="A197:A198"/>
    <mergeCell ref="A199:E199"/>
  </mergeCells>
  <hyperlinks>
    <hyperlink ref="B109" r:id="rId1" display="https://api.whatsapp.com/send?phone=5511996521644" xr:uid="{BEB3F44C-F1ED-4F03-BFDA-C15200EF02CA}"/>
  </hyperlinks>
  <printOptions horizontalCentered="1"/>
  <pageMargins left="0.51181102362204722" right="0.19685039370078741" top="0.9055118110236221" bottom="0.78740157480314965" header="0.23622047244094491" footer="0.31496062992125984"/>
  <pageSetup paperSize="9" scale="80" orientation="portrait" r:id="rId2"/>
  <headerFooter>
    <oddHeader>&amp;C&amp;G</oddHeader>
  </headerFooter>
  <rowBreaks count="1" manualBreakCount="1">
    <brk id="138" max="5" man="1"/>
  </row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10</vt:i4>
      </vt:variant>
    </vt:vector>
  </HeadingPairs>
  <TitlesOfParts>
    <vt:vector size="17" baseType="lpstr">
      <vt:lpstr>Resumo</vt:lpstr>
      <vt:lpstr>Planilha Orçamentária</vt:lpstr>
      <vt:lpstr>Memorial de Cálculo</vt:lpstr>
      <vt:lpstr>Cronograma</vt:lpstr>
      <vt:lpstr>Composição</vt:lpstr>
      <vt:lpstr>Detalhamento do BDI</vt:lpstr>
      <vt:lpstr>COTAÇÃO</vt:lpstr>
      <vt:lpstr>Composição!Area_de_impressao</vt:lpstr>
      <vt:lpstr>COTAÇÃO!Area_de_impressao</vt:lpstr>
      <vt:lpstr>Cronograma!Area_de_impressao</vt:lpstr>
      <vt:lpstr>'Detalhamento do BDI'!Area_de_impressao</vt:lpstr>
      <vt:lpstr>'Memorial de Cálculo'!Area_de_impressao</vt:lpstr>
      <vt:lpstr>'Planilha Orçamentária'!Area_de_impressao</vt:lpstr>
      <vt:lpstr>Resumo!Area_de_impressao</vt:lpstr>
      <vt:lpstr>Cronograma!Titulos_de_impressao</vt:lpstr>
      <vt:lpstr>'Planilha Orçamentária'!Titulos_de_impressao</vt:lpstr>
      <vt:lpstr>Resumo!Titulos_de_impressao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Demoner Diniz</dc:creator>
  <cp:lastModifiedBy>Igor Alves Folador Dominicini</cp:lastModifiedBy>
  <cp:lastPrinted>2020-05-14T13:47:33Z</cp:lastPrinted>
  <dcterms:created xsi:type="dcterms:W3CDTF">2020-04-13T11:33:02Z</dcterms:created>
  <dcterms:modified xsi:type="dcterms:W3CDTF">2020-05-14T13:47:36Z</dcterms:modified>
</cp:coreProperties>
</file>