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catarina.diniz\Desktop\PMI\Galpão para coleta seletiva\"/>
    </mc:Choice>
  </mc:AlternateContent>
  <xr:revisionPtr revIDLastSave="0" documentId="13_ncr:1_{DF024DAC-6889-4C28-9A00-F10C700DF87D}" xr6:coauthVersionLast="45" xr6:coauthVersionMax="45" xr10:uidLastSave="{00000000-0000-0000-0000-000000000000}"/>
  <bookViews>
    <workbookView xWindow="-120" yWindow="-120" windowWidth="29040" windowHeight="15840" tabRatio="583" activeTab="6" xr2:uid="{00000000-000D-0000-FFFF-FFFF00000000}"/>
  </bookViews>
  <sheets>
    <sheet name="Resumo" sheetId="10" r:id="rId1"/>
    <sheet name="Planilha Orçamentária" sheetId="1" r:id="rId2"/>
    <sheet name="Memorial de Cálculo" sheetId="15" r:id="rId3"/>
    <sheet name="Cronograma" sheetId="11" r:id="rId4"/>
    <sheet name="Composição" sheetId="12" r:id="rId5"/>
    <sheet name="COTAÇÃO" sheetId="14" r:id="rId6"/>
    <sheet name="Detalhamento do BDI" sheetId="16" r:id="rId7"/>
  </sheets>
  <externalReferences>
    <externalReference r:id="rId8"/>
  </externalReferences>
  <definedNames>
    <definedName name="_xlnm.Print_Area" localSheetId="4">Composição!$A$1:$G$455</definedName>
    <definedName name="_xlnm.Print_Area" localSheetId="5">COTAÇÃO!$A$1:$F$100</definedName>
    <definedName name="_xlnm.Print_Area" localSheetId="3">Cronograma!$A$1:$J$44</definedName>
    <definedName name="_xlnm.Print_Area" localSheetId="6">'Detalhamento do BDI'!$A$1:$D$56</definedName>
    <definedName name="_xlnm.Print_Area" localSheetId="2">'Memorial de Cálculo'!$A$1:$L$827</definedName>
    <definedName name="_xlnm.Print_Area" localSheetId="1">'Planilha Orçamentária'!$A$1:$H$196</definedName>
    <definedName name="_xlnm.Print_Area" localSheetId="0">Resumo!$A$1:$D$43</definedName>
    <definedName name="_xlnm.Print_Titles" localSheetId="3">Cronograma!$A:$D,Cronograma!$1:$6</definedName>
    <definedName name="_xlnm.Print_Titles" localSheetId="2">'Memorial de Cálculo'!$1:$7</definedName>
    <definedName name="_xlnm.Print_Titles" localSheetId="1">'Planilha Orçamentária'!$6:$7</definedName>
    <definedName name="_xlnm.Print_Titles" localSheetId="0">Resumo!$A:$D,Resumo!$1:$7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3" i="16" l="1"/>
  <c r="A40" i="16"/>
  <c r="E36" i="16"/>
  <c r="C32" i="16"/>
  <c r="C25" i="16" s="1"/>
  <c r="C36" i="16" s="1"/>
  <c r="H195" i="1" l="1"/>
  <c r="H184" i="1"/>
  <c r="H138" i="1"/>
  <c r="H103" i="1"/>
  <c r="H96" i="1"/>
  <c r="H87" i="1"/>
  <c r="H83" i="1"/>
  <c r="H59" i="1"/>
  <c r="H14" i="1"/>
  <c r="B753" i="15"/>
  <c r="K754" i="15"/>
  <c r="K755" i="15" s="1"/>
  <c r="H175" i="1"/>
  <c r="G444" i="12"/>
  <c r="G445" i="12" s="1"/>
  <c r="C448" i="12" s="1"/>
  <c r="G440" i="12"/>
  <c r="G439" i="12"/>
  <c r="G441" i="12" l="1"/>
  <c r="C447" i="12" s="1"/>
  <c r="C452" i="12" s="1"/>
  <c r="C453" i="12" s="1"/>
  <c r="D73" i="15"/>
  <c r="K73" i="15" s="1"/>
  <c r="D66" i="15"/>
  <c r="K66" i="15" s="1"/>
  <c r="D72" i="15"/>
  <c r="K72" i="15" s="1"/>
  <c r="D65" i="15"/>
  <c r="K65" i="15" s="1"/>
  <c r="H10" i="1"/>
  <c r="C451" i="12" l="1"/>
  <c r="C454" i="12"/>
  <c r="B455" i="12" s="1"/>
  <c r="D29" i="11"/>
  <c r="J30" i="11" s="1"/>
  <c r="D27" i="11"/>
  <c r="J28" i="11" s="1"/>
  <c r="D23" i="11"/>
  <c r="D21" i="11"/>
  <c r="D19" i="11"/>
  <c r="H20" i="11" s="1"/>
  <c r="D17" i="11"/>
  <c r="I18" i="11" s="1"/>
  <c r="D15" i="11"/>
  <c r="I16" i="11" s="1"/>
  <c r="K488" i="15"/>
  <c r="K546" i="15"/>
  <c r="K547" i="15" s="1"/>
  <c r="B545" i="15"/>
  <c r="H126" i="1"/>
  <c r="K576" i="15"/>
  <c r="H194" i="1"/>
  <c r="B825" i="15"/>
  <c r="K826" i="15"/>
  <c r="K827" i="15" s="1"/>
  <c r="B476" i="15"/>
  <c r="B471" i="15"/>
  <c r="K478" i="15"/>
  <c r="K477" i="15"/>
  <c r="K473" i="15"/>
  <c r="K472" i="15"/>
  <c r="H110" i="1"/>
  <c r="H109" i="1"/>
  <c r="K361" i="15"/>
  <c r="K360" i="15"/>
  <c r="K342" i="15"/>
  <c r="K341" i="15"/>
  <c r="D300" i="15"/>
  <c r="B299" i="15"/>
  <c r="G278" i="15"/>
  <c r="G273" i="15"/>
  <c r="H273" i="15" s="1"/>
  <c r="K273" i="15" s="1"/>
  <c r="K14" i="15"/>
  <c r="B13" i="15"/>
  <c r="H22" i="11" l="1"/>
  <c r="I22" i="11"/>
  <c r="G24" i="11"/>
  <c r="H24" i="11"/>
  <c r="K474" i="15"/>
  <c r="K479" i="15"/>
  <c r="D64" i="15"/>
  <c r="C318" i="15"/>
  <c r="K318" i="15"/>
  <c r="K319" i="15" s="1"/>
  <c r="B317" i="15"/>
  <c r="H67" i="1"/>
  <c r="G420" i="12"/>
  <c r="G424" i="12"/>
  <c r="G419" i="12"/>
  <c r="D306" i="15"/>
  <c r="D305" i="15"/>
  <c r="D304" i="15"/>
  <c r="G425" i="12" l="1"/>
  <c r="C428" i="12" s="1"/>
  <c r="G421" i="12"/>
  <c r="C427" i="12" s="1"/>
  <c r="C432" i="12" s="1"/>
  <c r="B566" i="15"/>
  <c r="K567" i="15"/>
  <c r="K568" i="15" s="1"/>
  <c r="H131" i="1"/>
  <c r="C431" i="12" l="1"/>
  <c r="C433" i="12"/>
  <c r="C434" i="12" s="1"/>
  <c r="B435" i="12" s="1"/>
  <c r="B30" i="10"/>
  <c r="B28" i="10"/>
  <c r="B26" i="10"/>
  <c r="B24" i="10"/>
  <c r="B22" i="10"/>
  <c r="B20" i="10"/>
  <c r="B18" i="10"/>
  <c r="B16" i="10"/>
  <c r="B14" i="10"/>
  <c r="B12" i="10"/>
  <c r="B10" i="10"/>
  <c r="B8" i="10"/>
  <c r="B29" i="11"/>
  <c r="B27" i="11"/>
  <c r="B25" i="11"/>
  <c r="B23" i="11"/>
  <c r="B21" i="11"/>
  <c r="B19" i="11"/>
  <c r="B17" i="11"/>
  <c r="B15" i="11"/>
  <c r="B13" i="11"/>
  <c r="B11" i="11"/>
  <c r="B9" i="11"/>
  <c r="B7" i="11"/>
  <c r="K577" i="15" l="1"/>
  <c r="K572" i="15"/>
  <c r="K573" i="15" s="1"/>
  <c r="B587" i="15"/>
  <c r="B583" i="15"/>
  <c r="B579" i="15"/>
  <c r="B562" i="15"/>
  <c r="K588" i="15"/>
  <c r="K589" i="15" s="1"/>
  <c r="K584" i="15"/>
  <c r="K585" i="15" s="1"/>
  <c r="K580" i="15"/>
  <c r="K581" i="15" s="1"/>
  <c r="B575" i="15"/>
  <c r="B571" i="15"/>
  <c r="B570" i="15"/>
  <c r="H134" i="1"/>
  <c r="H130" i="1"/>
  <c r="H135" i="1"/>
  <c r="H136" i="1"/>
  <c r="H137" i="1"/>
  <c r="H133" i="1"/>
  <c r="H121" i="1"/>
  <c r="H122" i="1"/>
  <c r="H123" i="1"/>
  <c r="H124" i="1"/>
  <c r="H125" i="1"/>
  <c r="H127" i="1"/>
  <c r="H128" i="1"/>
  <c r="H129" i="1"/>
  <c r="H108" i="1"/>
  <c r="H111" i="1"/>
  <c r="H112" i="1"/>
  <c r="H113" i="1"/>
  <c r="H114" i="1"/>
  <c r="H115" i="1"/>
  <c r="H116" i="1"/>
  <c r="H117" i="1"/>
  <c r="H118" i="1"/>
  <c r="H119" i="1"/>
  <c r="H107" i="1"/>
  <c r="H91" i="1"/>
  <c r="H92" i="1"/>
  <c r="H93" i="1"/>
  <c r="H94" i="1"/>
  <c r="H95" i="1"/>
  <c r="G402" i="12"/>
  <c r="G403" i="12" s="1"/>
  <c r="C409" i="12" s="1"/>
  <c r="G398" i="12"/>
  <c r="G397" i="12"/>
  <c r="G396" i="12"/>
  <c r="G395" i="12"/>
  <c r="G394" i="12"/>
  <c r="G393" i="12"/>
  <c r="G392" i="12"/>
  <c r="G391" i="12"/>
  <c r="G390" i="12"/>
  <c r="G386" i="12"/>
  <c r="G385" i="12"/>
  <c r="G384" i="12"/>
  <c r="G383" i="12"/>
  <c r="G366" i="12"/>
  <c r="G367" i="12" s="1"/>
  <c r="C373" i="12" s="1"/>
  <c r="G362" i="12"/>
  <c r="G361" i="12"/>
  <c r="G360" i="12"/>
  <c r="G359" i="12"/>
  <c r="G358" i="12"/>
  <c r="G357" i="12"/>
  <c r="G356" i="12"/>
  <c r="G355" i="12"/>
  <c r="G354" i="12"/>
  <c r="G353" i="12"/>
  <c r="G352" i="12"/>
  <c r="G351" i="12"/>
  <c r="G347" i="12"/>
  <c r="G346" i="12"/>
  <c r="G345" i="12"/>
  <c r="G344" i="12"/>
  <c r="G327" i="12"/>
  <c r="G328" i="12" s="1"/>
  <c r="C334" i="12" s="1"/>
  <c r="G323" i="12"/>
  <c r="G322" i="12"/>
  <c r="G321" i="12"/>
  <c r="G320" i="12"/>
  <c r="G319" i="12"/>
  <c r="G318" i="12"/>
  <c r="G317" i="12"/>
  <c r="G316" i="12"/>
  <c r="G315" i="12"/>
  <c r="G311" i="12"/>
  <c r="G310" i="12"/>
  <c r="G309" i="12"/>
  <c r="G308" i="12"/>
  <c r="D24" i="10" l="1"/>
  <c r="G324" i="12"/>
  <c r="C333" i="12" s="1"/>
  <c r="G312" i="12"/>
  <c r="C332" i="12" s="1"/>
  <c r="C337" i="12" s="1"/>
  <c r="G348" i="12"/>
  <c r="C371" i="12" s="1"/>
  <c r="C375" i="12" s="1"/>
  <c r="G387" i="12"/>
  <c r="C407" i="12" s="1"/>
  <c r="C412" i="12" s="1"/>
  <c r="G363" i="12"/>
  <c r="C372" i="12" s="1"/>
  <c r="G399" i="12"/>
  <c r="C408" i="12" s="1"/>
  <c r="C376" i="12" l="1"/>
  <c r="C377" i="12" s="1"/>
  <c r="C378" i="12" s="1"/>
  <c r="B379" i="12" s="1"/>
  <c r="C336" i="12"/>
  <c r="C411" i="12"/>
  <c r="C338" i="12"/>
  <c r="C339" i="12" s="1"/>
  <c r="B340" i="12" s="1"/>
  <c r="C413" i="12"/>
  <c r="G787" i="15"/>
  <c r="K787" i="15" s="1"/>
  <c r="B786" i="15"/>
  <c r="J767" i="15"/>
  <c r="K767" i="15" s="1"/>
  <c r="J783" i="15"/>
  <c r="K783" i="15" s="1"/>
  <c r="J782" i="15"/>
  <c r="K782" i="15" s="1"/>
  <c r="J781" i="15"/>
  <c r="K781" i="15" s="1"/>
  <c r="B780" i="15"/>
  <c r="G777" i="15"/>
  <c r="K777" i="15" s="1"/>
  <c r="D776" i="15"/>
  <c r="G776" i="15" s="1"/>
  <c r="K776" i="15" s="1"/>
  <c r="D775" i="15"/>
  <c r="G775" i="15" s="1"/>
  <c r="K775" i="15" s="1"/>
  <c r="J774" i="15"/>
  <c r="D774" i="15"/>
  <c r="G774" i="15" s="1"/>
  <c r="J773" i="15"/>
  <c r="D773" i="15"/>
  <c r="G773" i="15" s="1"/>
  <c r="J772" i="15"/>
  <c r="D772" i="15"/>
  <c r="G772" i="15" s="1"/>
  <c r="J771" i="15"/>
  <c r="D771" i="15"/>
  <c r="G771" i="15" s="1"/>
  <c r="J770" i="15"/>
  <c r="D770" i="15"/>
  <c r="G770" i="15" s="1"/>
  <c r="J769" i="15"/>
  <c r="D769" i="15"/>
  <c r="G769" i="15" s="1"/>
  <c r="G768" i="15"/>
  <c r="K768" i="15" s="1"/>
  <c r="B766" i="15"/>
  <c r="H283" i="15"/>
  <c r="K283" i="15" s="1"/>
  <c r="K763" i="15"/>
  <c r="K764" i="15" s="1"/>
  <c r="B762" i="15"/>
  <c r="B761" i="15"/>
  <c r="C414" i="12" l="1"/>
  <c r="B415" i="12" s="1"/>
  <c r="K772" i="15"/>
  <c r="K771" i="15"/>
  <c r="K774" i="15"/>
  <c r="K784" i="15"/>
  <c r="K770" i="15"/>
  <c r="K773" i="15"/>
  <c r="K788" i="15"/>
  <c r="K769" i="15"/>
  <c r="B711" i="15"/>
  <c r="K712" i="15"/>
  <c r="K713" i="15" s="1"/>
  <c r="H53" i="1"/>
  <c r="K822" i="15"/>
  <c r="K818" i="15"/>
  <c r="K817" i="15"/>
  <c r="K758" i="15"/>
  <c r="K750" i="15"/>
  <c r="K746" i="15"/>
  <c r="K742" i="15"/>
  <c r="K738" i="15"/>
  <c r="B736" i="15"/>
  <c r="B732" i="15"/>
  <c r="B728" i="15"/>
  <c r="B724" i="15"/>
  <c r="B720" i="15"/>
  <c r="B715" i="15"/>
  <c r="K717" i="15"/>
  <c r="K716" i="15"/>
  <c r="H90" i="1"/>
  <c r="D20" i="10" s="1"/>
  <c r="H86" i="1"/>
  <c r="D18" i="10" s="1"/>
  <c r="H80" i="1"/>
  <c r="H81" i="1"/>
  <c r="H82" i="1"/>
  <c r="H79" i="1"/>
  <c r="D16" i="10" s="1"/>
  <c r="H73" i="1"/>
  <c r="H74" i="1"/>
  <c r="H75" i="1"/>
  <c r="H72" i="1"/>
  <c r="H63" i="1"/>
  <c r="H64" i="1"/>
  <c r="H65" i="1"/>
  <c r="H66" i="1"/>
  <c r="H62" i="1"/>
  <c r="H69" i="1" s="1"/>
  <c r="D11" i="11" s="1"/>
  <c r="H46" i="1"/>
  <c r="H47" i="1"/>
  <c r="H45" i="1"/>
  <c r="H188" i="1"/>
  <c r="H189" i="1"/>
  <c r="H190" i="1"/>
  <c r="H191" i="1"/>
  <c r="H192" i="1"/>
  <c r="H193" i="1"/>
  <c r="H187" i="1"/>
  <c r="H181" i="1"/>
  <c r="H182" i="1"/>
  <c r="H183" i="1"/>
  <c r="H180" i="1"/>
  <c r="H156" i="1"/>
  <c r="H157" i="1"/>
  <c r="H158" i="1"/>
  <c r="H159" i="1"/>
  <c r="H160" i="1"/>
  <c r="H161" i="1"/>
  <c r="H162" i="1"/>
  <c r="H177" i="1" s="1"/>
  <c r="H163" i="1"/>
  <c r="H164" i="1"/>
  <c r="H165" i="1"/>
  <c r="H166" i="1"/>
  <c r="H167" i="1"/>
  <c r="H168" i="1"/>
  <c r="H169" i="1"/>
  <c r="H170" i="1"/>
  <c r="H171" i="1"/>
  <c r="H172" i="1"/>
  <c r="H173" i="1"/>
  <c r="H174" i="1"/>
  <c r="H176" i="1"/>
  <c r="H155" i="1"/>
  <c r="H143" i="1"/>
  <c r="H144" i="1"/>
  <c r="H145" i="1"/>
  <c r="H146" i="1"/>
  <c r="H147" i="1"/>
  <c r="H148" i="1"/>
  <c r="H149" i="1"/>
  <c r="H150" i="1"/>
  <c r="H151" i="1"/>
  <c r="H152" i="1"/>
  <c r="H153" i="1"/>
  <c r="H142" i="1"/>
  <c r="G12" i="11" l="1"/>
  <c r="F12" i="11"/>
  <c r="H76" i="1"/>
  <c r="D13" i="11" s="1"/>
  <c r="I14" i="11" s="1"/>
  <c r="I33" i="11" s="1"/>
  <c r="J14" i="11"/>
  <c r="J33" i="11" s="1"/>
  <c r="D26" i="10"/>
  <c r="D25" i="11"/>
  <c r="D30" i="10"/>
  <c r="D28" i="10"/>
  <c r="D14" i="10"/>
  <c r="K778" i="15"/>
  <c r="K819" i="15"/>
  <c r="K718" i="15"/>
  <c r="G286" i="12"/>
  <c r="G291" i="12"/>
  <c r="G292" i="12" s="1"/>
  <c r="C297" i="12" s="1"/>
  <c r="G287" i="12"/>
  <c r="F97" i="14"/>
  <c r="F98" i="14" s="1"/>
  <c r="F92" i="14"/>
  <c r="F93" i="14" s="1"/>
  <c r="F87" i="14"/>
  <c r="F88" i="14" s="1"/>
  <c r="H196" i="1" l="1"/>
  <c r="G26" i="11"/>
  <c r="H26" i="11"/>
  <c r="H33" i="11" s="1"/>
  <c r="F100" i="14"/>
  <c r="G288" i="12"/>
  <c r="C296" i="12" s="1"/>
  <c r="C301" i="12" s="1"/>
  <c r="C302" i="12" s="1"/>
  <c r="G426" i="15"/>
  <c r="K426" i="15" s="1"/>
  <c r="D392" i="15"/>
  <c r="J392" i="15"/>
  <c r="K380" i="15"/>
  <c r="K381" i="15"/>
  <c r="K382" i="15"/>
  <c r="K379" i="15"/>
  <c r="C300" i="12" l="1"/>
  <c r="K392" i="15"/>
  <c r="C303" i="12"/>
  <c r="B304" i="12" s="1"/>
  <c r="K383" i="15"/>
  <c r="B525" i="15"/>
  <c r="K526" i="15"/>
  <c r="K527" i="15" s="1"/>
  <c r="G503" i="15"/>
  <c r="G504" i="15"/>
  <c r="G502" i="15"/>
  <c r="B313" i="15"/>
  <c r="G314" i="15"/>
  <c r="K314" i="15" s="1"/>
  <c r="K456" i="15"/>
  <c r="K457" i="15" s="1"/>
  <c r="K315" i="15" l="1"/>
  <c r="B455" i="15"/>
  <c r="H102" i="1"/>
  <c r="G451" i="15"/>
  <c r="K451" i="15" s="1"/>
  <c r="D452" i="15"/>
  <c r="G452" i="15" s="1"/>
  <c r="K452" i="15" s="1"/>
  <c r="G450" i="15"/>
  <c r="K450" i="15" s="1"/>
  <c r="K446" i="15"/>
  <c r="G442" i="15"/>
  <c r="K442" i="15" s="1"/>
  <c r="B449" i="15"/>
  <c r="B445" i="15"/>
  <c r="B441" i="15"/>
  <c r="H100" i="1"/>
  <c r="H101" i="1"/>
  <c r="H99" i="1"/>
  <c r="D22" i="10" l="1"/>
  <c r="K453" i="15"/>
  <c r="D435" i="15"/>
  <c r="G435" i="15" s="1"/>
  <c r="K435" i="15" s="1"/>
  <c r="K431" i="15"/>
  <c r="G427" i="15"/>
  <c r="K427" i="15" s="1"/>
  <c r="K428" i="15" s="1"/>
  <c r="G422" i="15"/>
  <c r="G421" i="15"/>
  <c r="G412" i="15"/>
  <c r="G411" i="15"/>
  <c r="K398" i="15"/>
  <c r="J393" i="15"/>
  <c r="J394" i="15"/>
  <c r="D394" i="15"/>
  <c r="D393" i="15"/>
  <c r="J371" i="15"/>
  <c r="D371" i="15"/>
  <c r="G371" i="15" s="1"/>
  <c r="G374" i="15"/>
  <c r="J373" i="15"/>
  <c r="D373" i="15"/>
  <c r="G373" i="15" s="1"/>
  <c r="J372" i="15"/>
  <c r="D372" i="15"/>
  <c r="G372" i="15" s="1"/>
  <c r="J367" i="15"/>
  <c r="D367" i="15"/>
  <c r="G367" i="15" s="1"/>
  <c r="J366" i="15"/>
  <c r="D366" i="15"/>
  <c r="G366" i="15" s="1"/>
  <c r="J365" i="15"/>
  <c r="D365" i="15"/>
  <c r="G365" i="15" s="1"/>
  <c r="J310" i="15"/>
  <c r="D310" i="15"/>
  <c r="G310" i="15" s="1"/>
  <c r="G359" i="15"/>
  <c r="K359" i="15" s="1"/>
  <c r="D358" i="15"/>
  <c r="G358" i="15" s="1"/>
  <c r="K358" i="15" s="1"/>
  <c r="D357" i="15"/>
  <c r="G357" i="15" s="1"/>
  <c r="K357" i="15" s="1"/>
  <c r="J356" i="15"/>
  <c r="D356" i="15"/>
  <c r="G356" i="15" s="1"/>
  <c r="J355" i="15"/>
  <c r="D355" i="15"/>
  <c r="G355" i="15" s="1"/>
  <c r="J354" i="15"/>
  <c r="D354" i="15"/>
  <c r="G354" i="15" s="1"/>
  <c r="J353" i="15"/>
  <c r="D353" i="15"/>
  <c r="G353" i="15" s="1"/>
  <c r="J352" i="15"/>
  <c r="D352" i="15"/>
  <c r="G352" i="15" s="1"/>
  <c r="J351" i="15"/>
  <c r="D351" i="15"/>
  <c r="G351" i="15" s="1"/>
  <c r="G350" i="15"/>
  <c r="K350" i="15" s="1"/>
  <c r="J349" i="15"/>
  <c r="K349" i="15" s="1"/>
  <c r="J348" i="15"/>
  <c r="K348" i="15" s="1"/>
  <c r="J347" i="15"/>
  <c r="K347" i="15" s="1"/>
  <c r="J346" i="15"/>
  <c r="K346" i="15" s="1"/>
  <c r="G340" i="15"/>
  <c r="K340" i="15" s="1"/>
  <c r="D339" i="15"/>
  <c r="G339" i="15" s="1"/>
  <c r="K339" i="15" s="1"/>
  <c r="D338" i="15"/>
  <c r="G338" i="15" s="1"/>
  <c r="K338" i="15" s="1"/>
  <c r="J337" i="15"/>
  <c r="D337" i="15"/>
  <c r="G337" i="15" s="1"/>
  <c r="J336" i="15"/>
  <c r="D336" i="15"/>
  <c r="G336" i="15" s="1"/>
  <c r="J335" i="15"/>
  <c r="D335" i="15"/>
  <c r="G335" i="15" s="1"/>
  <c r="J334" i="15"/>
  <c r="D334" i="15"/>
  <c r="G334" i="15" s="1"/>
  <c r="J333" i="15"/>
  <c r="D333" i="15"/>
  <c r="G333" i="15" s="1"/>
  <c r="D332" i="15"/>
  <c r="G332" i="15" s="1"/>
  <c r="J332" i="15"/>
  <c r="G331" i="15"/>
  <c r="K331" i="15" s="1"/>
  <c r="J330" i="15"/>
  <c r="K330" i="15" s="1"/>
  <c r="J329" i="15"/>
  <c r="K329" i="15" s="1"/>
  <c r="J328" i="15"/>
  <c r="K328" i="15" s="1"/>
  <c r="J327" i="15"/>
  <c r="K327" i="15" s="1"/>
  <c r="K305" i="15"/>
  <c r="K306" i="15"/>
  <c r="K304" i="15"/>
  <c r="G296" i="15"/>
  <c r="J296" i="15"/>
  <c r="J295" i="15"/>
  <c r="D295" i="15"/>
  <c r="G295" i="15" s="1"/>
  <c r="J294" i="15"/>
  <c r="D294" i="15"/>
  <c r="G294" i="15" s="1"/>
  <c r="J293" i="15"/>
  <c r="G293" i="15"/>
  <c r="J292" i="15"/>
  <c r="D292" i="15"/>
  <c r="G292" i="15" s="1"/>
  <c r="J291" i="15"/>
  <c r="K291" i="15" s="1"/>
  <c r="J289" i="15"/>
  <c r="K289" i="15" s="1"/>
  <c r="J288" i="15"/>
  <c r="J290" i="15"/>
  <c r="K366" i="15" l="1"/>
  <c r="K373" i="15"/>
  <c r="K333" i="15"/>
  <c r="K351" i="15"/>
  <c r="K354" i="15"/>
  <c r="K367" i="15"/>
  <c r="K394" i="15"/>
  <c r="K393" i="15"/>
  <c r="K365" i="15"/>
  <c r="K310" i="15"/>
  <c r="K311" i="15" s="1"/>
  <c r="K371" i="15"/>
  <c r="K335" i="15"/>
  <c r="K353" i="15"/>
  <c r="K356" i="15"/>
  <c r="K334" i="15"/>
  <c r="K352" i="15"/>
  <c r="K355" i="15"/>
  <c r="K372" i="15"/>
  <c r="K296" i="15"/>
  <c r="K307" i="15"/>
  <c r="K293" i="15"/>
  <c r="K336" i="15"/>
  <c r="K295" i="15"/>
  <c r="K332" i="15"/>
  <c r="K294" i="15"/>
  <c r="K337" i="15"/>
  <c r="K292" i="15"/>
  <c r="D290" i="15"/>
  <c r="G290" i="15" s="1"/>
  <c r="K290" i="15" s="1"/>
  <c r="D288" i="15"/>
  <c r="G288" i="15" s="1"/>
  <c r="K288" i="15" s="1"/>
  <c r="G300" i="15"/>
  <c r="K300" i="15" s="1"/>
  <c r="K301" i="15" s="1"/>
  <c r="H78" i="15"/>
  <c r="K78" i="15" s="1"/>
  <c r="H77" i="15"/>
  <c r="K77" i="15" s="1"/>
  <c r="D71" i="15"/>
  <c r="K71" i="15" s="1"/>
  <c r="D70" i="15"/>
  <c r="K70" i="15" s="1"/>
  <c r="K74" i="15" s="1"/>
  <c r="K64" i="15"/>
  <c r="D63" i="15"/>
  <c r="K63" i="15" s="1"/>
  <c r="K67" i="15" s="1"/>
  <c r="B69" i="15"/>
  <c r="G59" i="15"/>
  <c r="K59" i="15" s="1"/>
  <c r="G58" i="15"/>
  <c r="C58" i="15"/>
  <c r="K268" i="15"/>
  <c r="K267" i="15"/>
  <c r="B266" i="15"/>
  <c r="B262" i="15"/>
  <c r="H54" i="1"/>
  <c r="K263" i="15"/>
  <c r="K264" i="15" s="1"/>
  <c r="K259" i="15"/>
  <c r="K258" i="15"/>
  <c r="K284" i="15"/>
  <c r="G274" i="15"/>
  <c r="H274" i="15" s="1"/>
  <c r="K274" i="15" s="1"/>
  <c r="G279" i="15"/>
  <c r="K279" i="15" s="1"/>
  <c r="K278" i="15"/>
  <c r="B272" i="15"/>
  <c r="H56" i="1"/>
  <c r="K254" i="15"/>
  <c r="G253" i="15"/>
  <c r="K253" i="15" s="1"/>
  <c r="G252" i="15"/>
  <c r="K252" i="15" s="1"/>
  <c r="H58" i="1"/>
  <c r="H57" i="1"/>
  <c r="H52" i="1"/>
  <c r="H51" i="1"/>
  <c r="G269" i="12"/>
  <c r="G270" i="12" s="1"/>
  <c r="C275" i="12" s="1"/>
  <c r="G265" i="12"/>
  <c r="G264" i="12"/>
  <c r="K362" i="15" l="1"/>
  <c r="K343" i="15"/>
  <c r="K255" i="15"/>
  <c r="G266" i="12"/>
  <c r="C274" i="12" s="1"/>
  <c r="C278" i="12" s="1"/>
  <c r="K395" i="15"/>
  <c r="K297" i="15"/>
  <c r="K79" i="15"/>
  <c r="K58" i="15"/>
  <c r="K60" i="15" s="1"/>
  <c r="K269" i="15"/>
  <c r="K260" i="15"/>
  <c r="K275" i="15"/>
  <c r="K280" i="15"/>
  <c r="C279" i="12" l="1"/>
  <c r="C280" i="12" s="1"/>
  <c r="C281" i="12" s="1"/>
  <c r="B282" i="12" s="1"/>
  <c r="H247" i="15" l="1"/>
  <c r="K247" i="15" s="1"/>
  <c r="K248" i="15" s="1"/>
  <c r="H49" i="1"/>
  <c r="D194" i="15" l="1"/>
  <c r="K194" i="15" s="1"/>
  <c r="G175" i="15"/>
  <c r="K175" i="15" s="1"/>
  <c r="G176" i="15"/>
  <c r="K176" i="15" s="1"/>
  <c r="G177" i="15"/>
  <c r="K177" i="15" s="1"/>
  <c r="G180" i="15"/>
  <c r="K180" i="15" s="1"/>
  <c r="G181" i="15"/>
  <c r="K181" i="15" s="1"/>
  <c r="G182" i="15"/>
  <c r="K182" i="15" s="1"/>
  <c r="G183" i="15"/>
  <c r="K183" i="15" s="1"/>
  <c r="G184" i="15"/>
  <c r="K184" i="15" s="1"/>
  <c r="G174" i="15"/>
  <c r="I242" i="15" l="1"/>
  <c r="C238" i="15"/>
  <c r="K238" i="15" s="1"/>
  <c r="C237" i="15"/>
  <c r="K237" i="15" s="1"/>
  <c r="C236" i="15"/>
  <c r="K236" i="15" s="1"/>
  <c r="C235" i="15"/>
  <c r="K235" i="15" s="1"/>
  <c r="C234" i="15"/>
  <c r="K234" i="15" s="1"/>
  <c r="C233" i="15"/>
  <c r="K233" i="15" s="1"/>
  <c r="C232" i="15"/>
  <c r="K232" i="15" s="1"/>
  <c r="C231" i="15"/>
  <c r="K231" i="15" s="1"/>
  <c r="C230" i="15"/>
  <c r="K230" i="15" s="1"/>
  <c r="C229" i="15"/>
  <c r="K229" i="15" s="1"/>
  <c r="C228" i="15"/>
  <c r="K228" i="15" s="1"/>
  <c r="G224" i="15"/>
  <c r="K224" i="15" s="1"/>
  <c r="K225" i="15" s="1"/>
  <c r="B223" i="15"/>
  <c r="H216" i="15"/>
  <c r="K216" i="15" s="1"/>
  <c r="H217" i="15"/>
  <c r="K217" i="15" s="1"/>
  <c r="H218" i="15"/>
  <c r="K218" i="15" s="1"/>
  <c r="H219" i="15"/>
  <c r="K219" i="15" s="1"/>
  <c r="H215" i="15"/>
  <c r="K215" i="15" s="1"/>
  <c r="H210" i="15"/>
  <c r="K210" i="15" s="1"/>
  <c r="H211" i="15"/>
  <c r="K211" i="15" s="1"/>
  <c r="H212" i="15"/>
  <c r="K212" i="15" s="1"/>
  <c r="H209" i="15"/>
  <c r="K209" i="15" s="1"/>
  <c r="D204" i="15"/>
  <c r="K204" i="15" s="1"/>
  <c r="D201" i="15"/>
  <c r="K201" i="15" s="1"/>
  <c r="D196" i="15"/>
  <c r="K196" i="15" s="1"/>
  <c r="D195" i="15"/>
  <c r="K195" i="15" s="1"/>
  <c r="D191" i="15"/>
  <c r="K191" i="15" s="1"/>
  <c r="D190" i="15"/>
  <c r="K190" i="15" s="1"/>
  <c r="D189" i="15"/>
  <c r="K189" i="15" s="1"/>
  <c r="B207" i="15"/>
  <c r="B199" i="15"/>
  <c r="B187" i="15"/>
  <c r="B172" i="15"/>
  <c r="K174" i="15"/>
  <c r="K185" i="15" s="1"/>
  <c r="F194" i="15" l="1"/>
  <c r="K205" i="15"/>
  <c r="K220" i="15"/>
  <c r="K197" i="15"/>
  <c r="F189" i="15"/>
  <c r="K239" i="15"/>
  <c r="K242" i="15"/>
  <c r="K243" i="15" s="1"/>
  <c r="D106" i="15"/>
  <c r="K106" i="15" s="1"/>
  <c r="D98" i="15"/>
  <c r="K98" i="15" s="1"/>
  <c r="D117" i="15"/>
  <c r="D160" i="15"/>
  <c r="K160" i="15" s="1"/>
  <c r="D158" i="15"/>
  <c r="K158" i="15" s="1"/>
  <c r="D151" i="15"/>
  <c r="K151" i="15" s="1"/>
  <c r="D150" i="15"/>
  <c r="K150" i="15" s="1"/>
  <c r="D149" i="15"/>
  <c r="K149" i="15" s="1"/>
  <c r="D148" i="15"/>
  <c r="K148" i="15" s="1"/>
  <c r="D147" i="15"/>
  <c r="K147" i="15" s="1"/>
  <c r="G140" i="15"/>
  <c r="K140" i="15" s="1"/>
  <c r="G139" i="15"/>
  <c r="D146" i="15"/>
  <c r="K146" i="15" s="1"/>
  <c r="H165" i="15"/>
  <c r="K165" i="15" s="1"/>
  <c r="H166" i="15"/>
  <c r="K166" i="15" s="1"/>
  <c r="H167" i="15"/>
  <c r="K167" i="15" s="1"/>
  <c r="H168" i="15"/>
  <c r="K168" i="15" s="1"/>
  <c r="H164" i="15"/>
  <c r="K164" i="15" s="1"/>
  <c r="D159" i="15"/>
  <c r="K159" i="15" s="1"/>
  <c r="D157" i="15"/>
  <c r="K157" i="15" s="1"/>
  <c r="D156" i="15"/>
  <c r="K156" i="15" s="1"/>
  <c r="D155" i="15"/>
  <c r="K155" i="15" s="1"/>
  <c r="K161" i="15" l="1"/>
  <c r="K169" i="15"/>
  <c r="B757" i="15"/>
  <c r="B749" i="15"/>
  <c r="B745" i="15"/>
  <c r="B741" i="15"/>
  <c r="D113" i="15"/>
  <c r="H124" i="15" l="1"/>
  <c r="K124" i="15" s="1"/>
  <c r="H125" i="15"/>
  <c r="K125" i="15" s="1"/>
  <c r="H126" i="15"/>
  <c r="K126" i="15" s="1"/>
  <c r="H127" i="15"/>
  <c r="K127" i="15" s="1"/>
  <c r="H128" i="15"/>
  <c r="K128" i="15" s="1"/>
  <c r="H129" i="15"/>
  <c r="K129" i="15" s="1"/>
  <c r="H130" i="15"/>
  <c r="K130" i="15" s="1"/>
  <c r="H131" i="15"/>
  <c r="K131" i="15" s="1"/>
  <c r="H132" i="15"/>
  <c r="K132" i="15" s="1"/>
  <c r="H133" i="15"/>
  <c r="K133" i="15" s="1"/>
  <c r="H134" i="15"/>
  <c r="K134" i="15" s="1"/>
  <c r="H123" i="15"/>
  <c r="K123" i="15" s="1"/>
  <c r="D118" i="15"/>
  <c r="K118" i="15" s="1"/>
  <c r="D119" i="15"/>
  <c r="K119" i="15" s="1"/>
  <c r="K117" i="15"/>
  <c r="K113" i="15"/>
  <c r="K135" i="15" l="1"/>
  <c r="G141" i="15" l="1"/>
  <c r="K141" i="15" s="1"/>
  <c r="G142" i="15"/>
  <c r="K142" i="15" s="1"/>
  <c r="K139" i="15"/>
  <c r="B287" i="15"/>
  <c r="K114" i="15"/>
  <c r="K120" i="15"/>
  <c r="H83" i="15"/>
  <c r="K83" i="15" s="1"/>
  <c r="H84" i="15"/>
  <c r="K84" i="15" s="1"/>
  <c r="H85" i="15"/>
  <c r="K85" i="15" s="1"/>
  <c r="H86" i="15"/>
  <c r="K86" i="15" s="1"/>
  <c r="H87" i="15"/>
  <c r="K87" i="15" s="1"/>
  <c r="H88" i="15"/>
  <c r="K88" i="15" s="1"/>
  <c r="H89" i="15"/>
  <c r="K89" i="15" s="1"/>
  <c r="H90" i="15"/>
  <c r="K90" i="15" s="1"/>
  <c r="H91" i="15"/>
  <c r="K91" i="15" s="1"/>
  <c r="H92" i="15"/>
  <c r="K92" i="15" s="1"/>
  <c r="H93" i="15"/>
  <c r="K93" i="15" s="1"/>
  <c r="H94" i="15"/>
  <c r="K94" i="15" s="1"/>
  <c r="D109" i="15"/>
  <c r="K109" i="15" s="1"/>
  <c r="D108" i="15"/>
  <c r="K108" i="15" s="1"/>
  <c r="D107" i="15"/>
  <c r="K107" i="15" s="1"/>
  <c r="D105" i="15"/>
  <c r="K105" i="15" s="1"/>
  <c r="D104" i="15"/>
  <c r="K104" i="15" s="1"/>
  <c r="D103" i="15"/>
  <c r="K103" i="15" s="1"/>
  <c r="D102" i="15"/>
  <c r="K102" i="15" s="1"/>
  <c r="D101" i="15"/>
  <c r="K101" i="15" s="1"/>
  <c r="D100" i="15"/>
  <c r="K100" i="15" s="1"/>
  <c r="D99" i="15"/>
  <c r="K99" i="15" s="1"/>
  <c r="K152" i="15" l="1"/>
  <c r="K143" i="15"/>
  <c r="K95" i="15"/>
  <c r="B112" i="15"/>
  <c r="J53" i="15"/>
  <c r="H53" i="15"/>
  <c r="J52" i="15"/>
  <c r="H52" i="15"/>
  <c r="H48" i="15"/>
  <c r="K48" i="15" s="1"/>
  <c r="H47" i="15"/>
  <c r="K47" i="15" s="1"/>
  <c r="D43" i="15"/>
  <c r="K43" i="15" s="1"/>
  <c r="D42" i="15"/>
  <c r="K42" i="15" s="1"/>
  <c r="G38" i="15"/>
  <c r="K38" i="15" s="1"/>
  <c r="G37" i="15"/>
  <c r="K37" i="15" s="1"/>
  <c r="F33" i="15"/>
  <c r="H33" i="15" s="1"/>
  <c r="K33" i="15" s="1"/>
  <c r="F32" i="15"/>
  <c r="H32" i="15" s="1"/>
  <c r="K32" i="15" s="1"/>
  <c r="G26" i="15"/>
  <c r="G22" i="15"/>
  <c r="G18" i="15"/>
  <c r="K10" i="15"/>
  <c r="K49" i="15" l="1"/>
  <c r="K110" i="15"/>
  <c r="K44" i="15"/>
  <c r="K53" i="15"/>
  <c r="K52" i="15"/>
  <c r="K39" i="15"/>
  <c r="K34" i="15"/>
  <c r="K54" i="15" l="1"/>
  <c r="K26" i="15"/>
  <c r="K22" i="15"/>
  <c r="K18" i="15"/>
  <c r="G157" i="12"/>
  <c r="G116" i="12" l="1"/>
  <c r="G115" i="12"/>
  <c r="G121" i="12"/>
  <c r="G126" i="12"/>
  <c r="G127" i="12"/>
  <c r="G120" i="12"/>
  <c r="G65" i="12"/>
  <c r="G64" i="12"/>
  <c r="G63" i="12"/>
  <c r="G62" i="12"/>
  <c r="G60" i="12"/>
  <c r="G59" i="12"/>
  <c r="B303" i="15"/>
  <c r="B282" i="15"/>
  <c r="B277" i="15"/>
  <c r="B271" i="15"/>
  <c r="G117" i="12" l="1"/>
  <c r="C132" i="12" s="1"/>
  <c r="G128" i="12"/>
  <c r="C134" i="12" s="1"/>
  <c r="B257" i="15"/>
  <c r="B251" i="15"/>
  <c r="B250" i="15"/>
  <c r="C136" i="12" l="1"/>
  <c r="B246" i="15" l="1"/>
  <c r="B245" i="15"/>
  <c r="B241" i="15"/>
  <c r="B227" i="15"/>
  <c r="B222" i="15"/>
  <c r="B171" i="15"/>
  <c r="B163" i="15"/>
  <c r="B154" i="15"/>
  <c r="B145" i="15"/>
  <c r="B138" i="15"/>
  <c r="B137" i="15"/>
  <c r="B122" i="15"/>
  <c r="B116" i="15"/>
  <c r="B97" i="15"/>
  <c r="B82" i="15"/>
  <c r="B81" i="15"/>
  <c r="B76" i="15"/>
  <c r="B62" i="15"/>
  <c r="B56" i="15"/>
  <c r="B51" i="15"/>
  <c r="B46" i="15"/>
  <c r="B41" i="15"/>
  <c r="B36" i="15"/>
  <c r="B31" i="15"/>
  <c r="B30" i="15"/>
  <c r="B29" i="15"/>
  <c r="B25" i="15"/>
  <c r="K27" i="15"/>
  <c r="B21" i="15"/>
  <c r="K23" i="15"/>
  <c r="B17" i="15"/>
  <c r="K19" i="15"/>
  <c r="K15" i="15"/>
  <c r="B9" i="15"/>
  <c r="B8" i="15"/>
  <c r="B795" i="15"/>
  <c r="K813" i="15"/>
  <c r="K814" i="15" s="1"/>
  <c r="B812" i="15"/>
  <c r="H43" i="1" l="1"/>
  <c r="H41" i="1"/>
  <c r="H42" i="1"/>
  <c r="H40" i="1"/>
  <c r="H12" i="1"/>
  <c r="H13" i="1"/>
  <c r="H38" i="1"/>
  <c r="H37" i="1"/>
  <c r="H36" i="1"/>
  <c r="H35" i="1"/>
  <c r="H29" i="1"/>
  <c r="H33" i="1" l="1"/>
  <c r="H32" i="1"/>
  <c r="H31" i="1"/>
  <c r="H24" i="1"/>
  <c r="H25" i="1"/>
  <c r="H26" i="1"/>
  <c r="H27" i="1"/>
  <c r="H30" i="1"/>
  <c r="K823" i="15" l="1"/>
  <c r="B821" i="15"/>
  <c r="B816" i="15"/>
  <c r="H22" i="1" l="1"/>
  <c r="H21" i="1"/>
  <c r="H20" i="1"/>
  <c r="H19" i="1"/>
  <c r="H18" i="1"/>
  <c r="H11" i="1"/>
  <c r="H9" i="1"/>
  <c r="D10" i="10" l="1"/>
  <c r="D9" i="11"/>
  <c r="K737" i="15"/>
  <c r="K739" i="15" s="1"/>
  <c r="K733" i="15"/>
  <c r="K734" i="15" s="1"/>
  <c r="K729" i="15"/>
  <c r="K725" i="15"/>
  <c r="K721" i="15"/>
  <c r="K722" i="15" s="1"/>
  <c r="K704" i="15"/>
  <c r="B808" i="15"/>
  <c r="K809" i="15"/>
  <c r="K810" i="15" s="1"/>
  <c r="F10" i="11" l="1"/>
  <c r="F33" i="11" s="1"/>
  <c r="G10" i="11"/>
  <c r="G33" i="11" s="1"/>
  <c r="E10" i="11"/>
  <c r="D8" i="10"/>
  <c r="D7" i="11"/>
  <c r="D31" i="11" s="1"/>
  <c r="K690" i="15"/>
  <c r="K686" i="15"/>
  <c r="K685" i="15"/>
  <c r="K687" i="15" l="1"/>
  <c r="B646" i="15"/>
  <c r="K647" i="15"/>
  <c r="K648" i="15" s="1"/>
  <c r="G243" i="12"/>
  <c r="G242" i="12"/>
  <c r="G247" i="12"/>
  <c r="F78" i="14"/>
  <c r="F79" i="14" s="1"/>
  <c r="F73" i="14"/>
  <c r="F74" i="14" s="1"/>
  <c r="F68" i="14"/>
  <c r="F69" i="14" s="1"/>
  <c r="F81" i="14" l="1"/>
  <c r="G248" i="12"/>
  <c r="C253" i="12" s="1"/>
  <c r="G244" i="12"/>
  <c r="C252" i="12" s="1"/>
  <c r="C257" i="12" l="1"/>
  <c r="C258" i="12" s="1"/>
  <c r="C259" i="12" s="1"/>
  <c r="B260" i="12" s="1"/>
  <c r="C256" i="12"/>
  <c r="B790" i="15"/>
  <c r="B791" i="15"/>
  <c r="K759" i="15"/>
  <c r="K751" i="15"/>
  <c r="K747" i="15"/>
  <c r="B707" i="15"/>
  <c r="B702" i="15"/>
  <c r="B698" i="15"/>
  <c r="B694" i="15"/>
  <c r="B689" i="15"/>
  <c r="B684" i="15"/>
  <c r="G225" i="12" l="1"/>
  <c r="G224" i="12"/>
  <c r="G220" i="12"/>
  <c r="G219" i="12"/>
  <c r="G226" i="12" l="1"/>
  <c r="C231" i="12" s="1"/>
  <c r="G221" i="12"/>
  <c r="C230" i="12" s="1"/>
  <c r="C234" i="12" s="1"/>
  <c r="C235" i="12" l="1"/>
  <c r="C236" i="12" s="1"/>
  <c r="C237" i="12" s="1"/>
  <c r="B238" i="12" s="1"/>
  <c r="K743" i="15" l="1"/>
  <c r="K730" i="15"/>
  <c r="K726" i="15"/>
  <c r="K708" i="15"/>
  <c r="K709" i="15" s="1"/>
  <c r="K703" i="15"/>
  <c r="K705" i="15" s="1"/>
  <c r="K691" i="15" l="1"/>
  <c r="K692" i="15" s="1"/>
  <c r="K695" i="15"/>
  <c r="K699" i="15"/>
  <c r="K700" i="15" s="1"/>
  <c r="K696" i="15" l="1"/>
  <c r="B654" i="15"/>
  <c r="B650" i="15"/>
  <c r="K651" i="15"/>
  <c r="K652" i="15" s="1"/>
  <c r="G202" i="12"/>
  <c r="G198" i="12"/>
  <c r="G197" i="12"/>
  <c r="F59" i="14"/>
  <c r="F60" i="14" s="1"/>
  <c r="F54" i="14"/>
  <c r="F55" i="14" s="1"/>
  <c r="F49" i="14"/>
  <c r="F50" i="14" s="1"/>
  <c r="F62" i="14" l="1"/>
  <c r="G203" i="12"/>
  <c r="C208" i="12" s="1"/>
  <c r="G199" i="12"/>
  <c r="C207" i="12" s="1"/>
  <c r="C211" i="12" s="1"/>
  <c r="C212" i="12" l="1"/>
  <c r="C213" i="12" s="1"/>
  <c r="C214" i="12" s="1"/>
  <c r="B215" i="12" s="1"/>
  <c r="K634" i="15" l="1"/>
  <c r="K633" i="15"/>
  <c r="K615" i="15"/>
  <c r="K614" i="15"/>
  <c r="K665" i="15" l="1"/>
  <c r="K628" i="15"/>
  <c r="K627" i="15"/>
  <c r="B626" i="15"/>
  <c r="K607" i="15"/>
  <c r="K608" i="15" s="1"/>
  <c r="B606" i="15"/>
  <c r="K805" i="15"/>
  <c r="K804" i="15"/>
  <c r="K803" i="15"/>
  <c r="K802" i="15"/>
  <c r="K801" i="15"/>
  <c r="K800" i="15"/>
  <c r="B799" i="15"/>
  <c r="G180" i="12"/>
  <c r="G179" i="12"/>
  <c r="G175" i="12"/>
  <c r="G174" i="12"/>
  <c r="K643" i="15"/>
  <c r="B642" i="15"/>
  <c r="K639" i="15"/>
  <c r="K638" i="15"/>
  <c r="K619" i="15"/>
  <c r="K613" i="15"/>
  <c r="K680" i="15"/>
  <c r="K676" i="15"/>
  <c r="K675" i="15"/>
  <c r="K674" i="15"/>
  <c r="K673" i="15"/>
  <c r="K672" i="15"/>
  <c r="K667" i="15"/>
  <c r="K666" i="15"/>
  <c r="B637" i="15"/>
  <c r="B631" i="15"/>
  <c r="B622" i="15"/>
  <c r="B618" i="15"/>
  <c r="B610" i="15"/>
  <c r="B679" i="15"/>
  <c r="B670" i="15"/>
  <c r="B664" i="15"/>
  <c r="K612" i="15"/>
  <c r="K611" i="15"/>
  <c r="K632" i="15"/>
  <c r="K635" i="15" s="1"/>
  <c r="K623" i="15"/>
  <c r="K792" i="15"/>
  <c r="K793" i="15" s="1"/>
  <c r="G176" i="12" l="1"/>
  <c r="C185" i="12" s="1"/>
  <c r="G181" i="12"/>
  <c r="C186" i="12" s="1"/>
  <c r="K629" i="15"/>
  <c r="K668" i="15"/>
  <c r="K616" i="15"/>
  <c r="K806" i="15"/>
  <c r="K640" i="15"/>
  <c r="K644" i="15"/>
  <c r="K620" i="15"/>
  <c r="K624" i="15"/>
  <c r="K671" i="15"/>
  <c r="K677" i="15" s="1"/>
  <c r="K661" i="15"/>
  <c r="G156" i="12"/>
  <c r="G155" i="12"/>
  <c r="G154" i="12"/>
  <c r="G153" i="12"/>
  <c r="G152" i="12"/>
  <c r="G151" i="12"/>
  <c r="G150" i="12"/>
  <c r="G149" i="12"/>
  <c r="G145" i="12"/>
  <c r="G144" i="12"/>
  <c r="G146" i="12" l="1"/>
  <c r="G158" i="12"/>
  <c r="C163" i="12" s="1"/>
  <c r="C190" i="12"/>
  <c r="C191" i="12" s="1"/>
  <c r="C192" i="12" s="1"/>
  <c r="B193" i="12" s="1"/>
  <c r="C189" i="12"/>
  <c r="F40" i="14"/>
  <c r="F41" i="14" s="1"/>
  <c r="F35" i="14"/>
  <c r="F36" i="14" s="1"/>
  <c r="F30" i="14"/>
  <c r="F31" i="14" s="1"/>
  <c r="C162" i="12" l="1"/>
  <c r="C166" i="12" s="1"/>
  <c r="F43" i="14"/>
  <c r="C167" i="12" l="1"/>
  <c r="C168" i="12" s="1"/>
  <c r="C169" i="12" s="1"/>
  <c r="B170" i="12" s="1"/>
  <c r="B602" i="15" l="1"/>
  <c r="B593" i="15"/>
  <c r="B592" i="15"/>
  <c r="K603" i="15"/>
  <c r="K604" i="15" s="1"/>
  <c r="K599" i="15"/>
  <c r="K598" i="15"/>
  <c r="K597" i="15"/>
  <c r="K596" i="15"/>
  <c r="K595" i="15"/>
  <c r="K594" i="15"/>
  <c r="B655" i="15"/>
  <c r="K656" i="15"/>
  <c r="K600" i="15" l="1"/>
  <c r="B524" i="15" l="1"/>
  <c r="B520" i="15"/>
  <c r="B516" i="15"/>
  <c r="B512" i="15"/>
  <c r="B507" i="15"/>
  <c r="B501" i="15"/>
  <c r="B497" i="15"/>
  <c r="B492" i="15"/>
  <c r="B486" i="15"/>
  <c r="B481" i="15"/>
  <c r="B466" i="15"/>
  <c r="B461" i="15"/>
  <c r="B460" i="15"/>
  <c r="K522" i="15"/>
  <c r="K518" i="15"/>
  <c r="K513" i="15"/>
  <c r="K514" i="15" s="1"/>
  <c r="K509" i="15"/>
  <c r="K508" i="15"/>
  <c r="K504" i="15"/>
  <c r="K503" i="15"/>
  <c r="K502" i="15"/>
  <c r="K498" i="15"/>
  <c r="K499" i="15" s="1"/>
  <c r="K494" i="15"/>
  <c r="K493" i="15"/>
  <c r="K489" i="15"/>
  <c r="K487" i="15"/>
  <c r="K483" i="15"/>
  <c r="K482" i="15"/>
  <c r="K468" i="15"/>
  <c r="K467" i="15"/>
  <c r="K462" i="15"/>
  <c r="K464" i="15" s="1"/>
  <c r="K469" i="15" l="1"/>
  <c r="K484" i="15"/>
  <c r="K495" i="15"/>
  <c r="K490" i="15"/>
  <c r="K510" i="15"/>
  <c r="K505" i="15"/>
  <c r="G122" i="12" l="1"/>
  <c r="G123" i="12" l="1"/>
  <c r="C133" i="12" s="1"/>
  <c r="C137" i="12"/>
  <c r="K563" i="15"/>
  <c r="K564" i="15" s="1"/>
  <c r="B309" i="15"/>
  <c r="C138" i="12" l="1"/>
  <c r="C139" i="12" s="1"/>
  <c r="B140" i="12" s="1"/>
  <c r="G322" i="15" l="1"/>
  <c r="K322" i="15" s="1"/>
  <c r="K323" i="15" s="1"/>
  <c r="K374" i="15" l="1"/>
  <c r="K375" i="15" s="1"/>
  <c r="G96" i="12" l="1"/>
  <c r="G97" i="12"/>
  <c r="G98" i="12"/>
  <c r="G95" i="12"/>
  <c r="G94" i="12"/>
  <c r="G93" i="12"/>
  <c r="G92" i="12"/>
  <c r="G91" i="12"/>
  <c r="G90" i="12"/>
  <c r="G89" i="12"/>
  <c r="G88" i="12"/>
  <c r="G87" i="12"/>
  <c r="G83" i="12"/>
  <c r="G82" i="12"/>
  <c r="G99" i="12" l="1"/>
  <c r="C104" i="12" s="1"/>
  <c r="G84" i="12"/>
  <c r="C103" i="12" s="1"/>
  <c r="C107" i="12" s="1"/>
  <c r="K551" i="15"/>
  <c r="K550" i="15"/>
  <c r="B549" i="15"/>
  <c r="K559" i="15"/>
  <c r="K560" i="15" s="1"/>
  <c r="B558" i="15"/>
  <c r="K555" i="15"/>
  <c r="K556" i="15" s="1"/>
  <c r="B554" i="15"/>
  <c r="C108" i="12" l="1"/>
  <c r="C109" i="12" s="1"/>
  <c r="C110" i="12" s="1"/>
  <c r="B111" i="12" s="1"/>
  <c r="K552" i="15"/>
  <c r="K538" i="15"/>
  <c r="K539" i="15" s="1"/>
  <c r="K542" i="15"/>
  <c r="K543" i="15" s="1"/>
  <c r="B541" i="15"/>
  <c r="B537" i="15"/>
  <c r="K530" i="15"/>
  <c r="K531" i="15" s="1"/>
  <c r="K534" i="15"/>
  <c r="K535" i="15" s="1"/>
  <c r="B533" i="15"/>
  <c r="B529" i="15"/>
  <c r="K447" i="15" l="1"/>
  <c r="K406" i="15"/>
  <c r="K405" i="15"/>
  <c r="K404" i="15"/>
  <c r="K403" i="15"/>
  <c r="K407" i="15" l="1"/>
  <c r="K681" i="15" l="1"/>
  <c r="K682" i="15" s="1"/>
  <c r="K660" i="15"/>
  <c r="B402" i="15"/>
  <c r="B401" i="15"/>
  <c r="B378" i="15"/>
  <c r="K399" i="15"/>
  <c r="B397" i="15"/>
  <c r="K417" i="15"/>
  <c r="K416" i="15"/>
  <c r="K418" i="15" s="1"/>
  <c r="B415" i="15"/>
  <c r="D437" i="15" l="1"/>
  <c r="G437" i="15" s="1"/>
  <c r="K437" i="15" s="1"/>
  <c r="D436" i="15"/>
  <c r="G436" i="15" s="1"/>
  <c r="K436" i="15" s="1"/>
  <c r="K438" i="15" s="1"/>
  <c r="K432" i="15"/>
  <c r="K388" i="15"/>
  <c r="B370" i="15"/>
  <c r="G61" i="12" l="1"/>
  <c r="G58" i="12"/>
  <c r="G54" i="12"/>
  <c r="G53" i="12"/>
  <c r="G55" i="12" s="1"/>
  <c r="G66" i="12" l="1"/>
  <c r="C71" i="12" s="1"/>
  <c r="C70" i="12"/>
  <c r="C75" i="12" s="1"/>
  <c r="C76" i="12" l="1"/>
  <c r="C77" i="12" s="1"/>
  <c r="B78" i="12" s="1"/>
  <c r="H68" i="1" s="1"/>
  <c r="D12" i="10" s="1"/>
  <c r="C74" i="12"/>
  <c r="K796" i="15" l="1"/>
  <c r="K797" i="15" s="1"/>
  <c r="B364" i="15" l="1"/>
  <c r="B391" i="15"/>
  <c r="K368" i="15" l="1"/>
  <c r="B425" i="15"/>
  <c r="G36" i="12" l="1"/>
  <c r="G37" i="12" s="1"/>
  <c r="C42" i="12" s="1"/>
  <c r="G32" i="12"/>
  <c r="G31" i="12"/>
  <c r="G33" i="12" l="1"/>
  <c r="C41" i="12" s="1"/>
  <c r="G10" i="12"/>
  <c r="G14" i="12"/>
  <c r="G15" i="12" s="1"/>
  <c r="G9" i="12"/>
  <c r="G11" i="12" l="1"/>
  <c r="C19" i="12"/>
  <c r="C20" i="12"/>
  <c r="C45" i="12"/>
  <c r="C46" i="12"/>
  <c r="C47" i="12" s="1"/>
  <c r="C48" i="12" s="1"/>
  <c r="C24" i="12" l="1"/>
  <c r="C25" i="12" s="1"/>
  <c r="C26" i="12" s="1"/>
  <c r="B27" i="12" s="1"/>
  <c r="C23" i="12"/>
  <c r="B49" i="12"/>
  <c r="K11" i="15" l="1"/>
  <c r="B434" i="15" l="1"/>
  <c r="K659" i="15" l="1"/>
  <c r="K658" i="15"/>
  <c r="K657" i="15"/>
  <c r="B591" i="15"/>
  <c r="B459" i="15"/>
  <c r="B430" i="15"/>
  <c r="B440" i="15"/>
  <c r="K443" i="15"/>
  <c r="K662" i="15" l="1"/>
  <c r="K422" i="15" l="1"/>
  <c r="K421" i="15"/>
  <c r="K411" i="15"/>
  <c r="K412" i="15"/>
  <c r="K387" i="15"/>
  <c r="K386" i="15"/>
  <c r="K389" i="15" s="1"/>
  <c r="K413" i="15" l="1"/>
  <c r="K423" i="15"/>
  <c r="B420" i="15"/>
  <c r="B410" i="15"/>
  <c r="B385" i="15"/>
  <c r="B345" i="15" l="1"/>
  <c r="B409" i="15" l="1"/>
  <c r="B377" i="15"/>
  <c r="B326" i="15"/>
  <c r="B325" i="15"/>
  <c r="B286" i="15" l="1"/>
  <c r="F21" i="14" l="1"/>
  <c r="F22" i="14" s="1"/>
  <c r="F16" i="14"/>
  <c r="F17" i="14" s="1"/>
  <c r="F11" i="14"/>
  <c r="F12" i="14" s="1"/>
  <c r="F24" i="14" l="1"/>
  <c r="J31" i="11" l="1"/>
  <c r="E8" i="11"/>
  <c r="E33" i="11" s="1"/>
  <c r="H31" i="11" l="1"/>
  <c r="I31" i="11"/>
  <c r="F31" i="11"/>
  <c r="G31" i="11"/>
  <c r="C32" i="10"/>
  <c r="C10" i="10" s="1"/>
  <c r="E34" i="11"/>
  <c r="F34" i="11" s="1"/>
  <c r="G34" i="11" s="1"/>
  <c r="H34" i="11" s="1"/>
  <c r="I34" i="11" s="1"/>
  <c r="J34" i="11" s="1"/>
  <c r="E31" i="11"/>
  <c r="E32" i="11" s="1"/>
  <c r="C14" i="10" l="1"/>
  <c r="F32" i="11"/>
  <c r="G32" i="11" s="1"/>
  <c r="H32" i="11" s="1"/>
  <c r="I32" i="11" s="1"/>
  <c r="J32" i="11" s="1"/>
  <c r="C20" i="10"/>
  <c r="C8" i="10"/>
  <c r="C12" i="10"/>
  <c r="C28" i="10"/>
  <c r="C26" i="10"/>
  <c r="C24" i="10"/>
  <c r="C22" i="10"/>
  <c r="C18" i="10"/>
  <c r="C30" i="10"/>
  <c r="C16" i="10"/>
  <c r="C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2C3BFC3A-949A-4152-843F-247331D3F93F}">
      <text>
        <r>
          <rPr>
            <sz val="9"/>
            <color indexed="81"/>
            <rFont val="Segoe UI"/>
            <family val="2"/>
          </rPr>
          <t>Nome do Orgão  ou Empresa Executante</t>
        </r>
      </text>
    </comment>
    <comment ref="B8" authorId="1" shapeId="0" xr:uid="{523508AB-409E-43C8-BC63-206A99A5001B}">
      <text>
        <r>
          <rPr>
            <b/>
            <sz val="9"/>
            <color indexed="81"/>
            <rFont val="Tahoma"/>
            <charset val="1"/>
          </rPr>
          <t>Escolha</t>
        </r>
        <r>
          <rPr>
            <sz val="9"/>
            <color indexed="81"/>
            <rFont val="Tahoma"/>
            <charset val="1"/>
          </rPr>
          <t xml:space="preserve">
</t>
        </r>
      </text>
    </comment>
    <comment ref="B12" authorId="1" shapeId="0" xr:uid="{BF95AB02-AE03-4E2C-91D8-6719084087F2}">
      <text>
        <r>
          <rPr>
            <sz val="9"/>
            <color indexed="81"/>
            <rFont val="Tahoma"/>
            <charset val="1"/>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6" authorId="2" shapeId="0" xr:uid="{BE9E595A-5191-4557-A2BA-F4C4278146F0}">
      <text>
        <r>
          <rPr>
            <sz val="10"/>
            <color indexed="81"/>
            <rFont val="Tahoma"/>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7" authorId="2" shapeId="0" xr:uid="{3598211E-D108-4234-BD31-422620566A9A}">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rPr>
          <t xml:space="preserve">
</t>
        </r>
      </text>
    </comment>
    <comment ref="C19" authorId="2" shapeId="0" xr:uid="{5A3D3101-F897-431F-A7EC-3A03B185CABC}">
      <text>
        <r>
          <rPr>
            <sz val="10"/>
            <color indexed="81"/>
            <rFont val="Tahoma"/>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1" authorId="2" shapeId="0" xr:uid="{000FF273-CEFF-4E36-8704-D88534952389}">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rPr>
          <t xml:space="preserve">
</t>
        </r>
      </text>
    </comment>
    <comment ref="C25" authorId="2" shapeId="0" xr:uid="{CC4D1B79-8FF7-45C3-A5DC-5C45A1787F64}">
      <text>
        <r>
          <rPr>
            <sz val="10"/>
            <color indexed="81"/>
            <rFont val="Tahoma"/>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0" authorId="2" shapeId="0" xr:uid="{351E89B1-8452-41F9-B39B-DF0105384FC9}">
      <text>
        <r>
          <rPr>
            <sz val="10"/>
            <color indexed="81"/>
            <rFont val="Tahoma"/>
          </rPr>
          <t>COFINS (Contribuição para Financiamento da Seguridade Socia Financia a seguridade social pelo sistema S (SESC, SESI, SENAC, SENAI, SEST, SENAT, SENAR E SEBRAE).</t>
        </r>
      </text>
    </comment>
    <comment ref="C31" authorId="2" shapeId="0" xr:uid="{B53B7ED3-9119-4923-B8C1-37454AB56F10}">
      <text>
        <r>
          <rPr>
            <sz val="10"/>
            <color indexed="81"/>
            <rFont val="Tahoma"/>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<sst xmlns="http://schemas.openxmlformats.org/spreadsheetml/2006/main" count="2873" uniqueCount="913">
  <si>
    <t>ITEM</t>
  </si>
  <si>
    <t>CÓDIGO</t>
  </si>
  <si>
    <t>ORGÃO</t>
  </si>
  <si>
    <t>DESCRIÇÃO SERVIÇO</t>
  </si>
  <si>
    <t>und</t>
  </si>
  <si>
    <t>m</t>
  </si>
  <si>
    <t>m²</t>
  </si>
  <si>
    <t xml:space="preserve"> </t>
  </si>
  <si>
    <t>TOTAL</t>
  </si>
  <si>
    <t>QUANTIDADE</t>
  </si>
  <si>
    <t>CRONOGRAMA FÍSICO-FINANCEIRO</t>
  </si>
  <si>
    <t>DESCRIÇÃO</t>
  </si>
  <si>
    <t xml:space="preserve">Físico (%) </t>
  </si>
  <si>
    <t>Financeiro (R$)</t>
  </si>
  <si>
    <t>Total Parcial (%)</t>
  </si>
  <si>
    <t>Total Acumulado (%)</t>
  </si>
  <si>
    <t>Total Financeiro (R$)</t>
  </si>
  <si>
    <t>Total Acumulado (R$)</t>
  </si>
  <si>
    <t>PLANILHA ORÇAMENTÁRIA</t>
  </si>
  <si>
    <t>RESUMO</t>
  </si>
  <si>
    <t>RESUMO DE ORÇAMENTO</t>
  </si>
  <si>
    <t>ÁREA PROJETADA (M²)</t>
  </si>
  <si>
    <t>CUSTO POR M²</t>
  </si>
  <si>
    <t>04</t>
  </si>
  <si>
    <t>03</t>
  </si>
  <si>
    <t>02</t>
  </si>
  <si>
    <t>01</t>
  </si>
  <si>
    <t>CUSTO TOTAL (R$)</t>
  </si>
  <si>
    <t>VALORES (R$)</t>
  </si>
  <si>
    <t>UNIDADE</t>
  </si>
  <si>
    <t>UNITÁRIO</t>
  </si>
  <si>
    <t>CUSTO (R$)</t>
  </si>
  <si>
    <t>%</t>
  </si>
  <si>
    <t>CREA ES-043213/D</t>
  </si>
  <si>
    <r>
      <t>ORÇAMENTISTAS:</t>
    </r>
    <r>
      <rPr>
        <sz val="10"/>
        <rFont val="Arial"/>
        <family val="2"/>
      </rPr>
      <t xml:space="preserve"> </t>
    </r>
  </si>
  <si>
    <t>Eng.ª Civil CATARINA DEMONER DINIZ - CREA: ES-0048118/D</t>
  </si>
  <si>
    <t>Coef.</t>
  </si>
  <si>
    <t>Eng.ª Civil Catarina Demoner Diniz</t>
  </si>
  <si>
    <t>Eng.º Civil Igor Alves Folador Dominicini</t>
  </si>
  <si>
    <t>Eng.º Civil IGOR ALVES FOLADOR DOMINICINI - CREA: ES- 043213/D</t>
  </si>
  <si>
    <t>CREA ES-0048118/D</t>
  </si>
  <si>
    <t>Eng.º Civil IGOR ALVES FOLADOR DOMINICINI - CREA: ES-043213/D</t>
  </si>
  <si>
    <r>
      <t>ORÇAMENTISTAS:</t>
    </r>
    <r>
      <rPr>
        <sz val="10"/>
        <rFont val="Arial"/>
        <family val="2"/>
      </rPr>
      <t xml:space="preserve"> Eng.º Civil IGOR ALVES FOLADOR DOMINICINI - CREA: ES-043213/D                                                                     Eng.ª Civil CATARINA DEMONER DINIZ - CREA: ES-0048118/D</t>
    </r>
  </si>
  <si>
    <t>IOPES</t>
  </si>
  <si>
    <t>Reboco tipo paulista com argamassa de cimento, cal hidratada CH1 e areia no traço 1:0,5:6, espessura 25mm</t>
  </si>
  <si>
    <t>Empresa 1</t>
  </si>
  <si>
    <t>Unidade</t>
  </si>
  <si>
    <t>Quantidade</t>
  </si>
  <si>
    <t>Valor Unitário</t>
  </si>
  <si>
    <t>Valor Total</t>
  </si>
  <si>
    <t>Total (A):</t>
  </si>
  <si>
    <t>Empresa 2</t>
  </si>
  <si>
    <t>Total (B):</t>
  </si>
  <si>
    <t>Empresa 3</t>
  </si>
  <si>
    <t>Total (C):</t>
  </si>
  <si>
    <t>(D) MÉDIA DOS TRÊS VALORES TOTAIS [(A)+(B)+(C)]/3</t>
  </si>
  <si>
    <t>Unid.</t>
  </si>
  <si>
    <t>Código</t>
  </si>
  <si>
    <t>Pr. Unit.</t>
  </si>
  <si>
    <t>Sub-Total</t>
  </si>
  <si>
    <t>h</t>
  </si>
  <si>
    <t>Total:</t>
  </si>
  <si>
    <t>Materiais</t>
  </si>
  <si>
    <t>RESUMO:</t>
  </si>
  <si>
    <t>Discriminação</t>
  </si>
  <si>
    <t>Taxa (%)</t>
  </si>
  <si>
    <t>Valores</t>
  </si>
  <si>
    <t>Mão de obra (A)</t>
  </si>
  <si>
    <t>Materiais (B)</t>
  </si>
  <si>
    <t>Equipamentos (C)</t>
  </si>
  <si>
    <t>Produção da equipe (D)</t>
  </si>
  <si>
    <t>Custo Horário Total [(A)+(C)]</t>
  </si>
  <si>
    <t>Custo Unitário da Execução [(A)+(C)/(D)]=(E)</t>
  </si>
  <si>
    <t>Custo Direto Total [(B)+(E)]</t>
  </si>
  <si>
    <t>Benefícios e Despesas Indiretas - BDI</t>
  </si>
  <si>
    <t>Custo Unitário (adotado)</t>
  </si>
  <si>
    <t>TOTAL GERAL</t>
  </si>
  <si>
    <t>SUB-TOTAL - 02</t>
  </si>
  <si>
    <t>SUB-TOTAL - 03</t>
  </si>
  <si>
    <t>SUB-TOTAL - 04</t>
  </si>
  <si>
    <t>SUB-TOTAL - 05</t>
  </si>
  <si>
    <r>
      <t xml:space="preserve">ORÇAMENTISTAS: </t>
    </r>
    <r>
      <rPr>
        <sz val="10"/>
        <rFont val="Arial"/>
        <family val="2"/>
      </rPr>
      <t xml:space="preserve">Eng.º Civil IGOR ALVES FOLADOR DOMINICINI - CREA: ES-043213/D    </t>
    </r>
    <r>
      <rPr>
        <b/>
        <sz val="10"/>
        <rFont val="Arial"/>
        <family val="2"/>
      </rPr>
      <t xml:space="preserve">                                                                                                                                                                                          </t>
    </r>
    <r>
      <rPr>
        <sz val="10"/>
        <rFont val="Arial"/>
        <family val="2"/>
      </rPr>
      <t>Eng.ª Civil CATARINA DEMONER DINIZ - CREA: ES-0048118/D</t>
    </r>
  </si>
  <si>
    <t>EXTENSÃO
(m)</t>
  </si>
  <si>
    <t>LARGURA
(m)</t>
  </si>
  <si>
    <t>ÁREA
(m²)</t>
  </si>
  <si>
    <t>VOLUME
(m³)</t>
  </si>
  <si>
    <t>MEMORIAL DE CÁLCULO</t>
  </si>
  <si>
    <t>05</t>
  </si>
  <si>
    <t>PAREDES E DIVISÓRIAS</t>
  </si>
  <si>
    <t>SINAPI</t>
  </si>
  <si>
    <t>REVESTIMENTO DE PAREDES</t>
  </si>
  <si>
    <t>Cozinha</t>
  </si>
  <si>
    <t>Escritório</t>
  </si>
  <si>
    <t>Circulação</t>
  </si>
  <si>
    <t>ESQUADRIAS</t>
  </si>
  <si>
    <t>PINTURA</t>
  </si>
  <si>
    <t>Aplicação manual de pintura com tinta látex PVA em teto, duas demãos</t>
  </si>
  <si>
    <t>Aplicação manual de pintura com tinta látex acrílica em paredes, duas demãos</t>
  </si>
  <si>
    <t>Janela de correr para vidro em alumínio anodizado cor natural, linha 25, completa, incl. puxador com tranca, alizar, caixilho e contramarco, exclusive vidro</t>
  </si>
  <si>
    <t>071701</t>
  </si>
  <si>
    <t>Vidro plano transparente liso, com 4 mm de espessura</t>
  </si>
  <si>
    <t>080102</t>
  </si>
  <si>
    <t>Porta de abrir tipo veneziana em alumínio anodizado, linha 25, completa, incl. puxador com tranca, caixilho, alizar e
contramarco</t>
  </si>
  <si>
    <t>071704</t>
  </si>
  <si>
    <t>COBERTURA</t>
  </si>
  <si>
    <t>06</t>
  </si>
  <si>
    <t>SUB-TOTAL - 07</t>
  </si>
  <si>
    <t>SUB-TOTAL - 06</t>
  </si>
  <si>
    <t>07</t>
  </si>
  <si>
    <t>08</t>
  </si>
  <si>
    <t>INSTALAÇÕES HIDROSSANITÁRIAS</t>
  </si>
  <si>
    <t>SUB-TOTAL - 08</t>
  </si>
  <si>
    <t>INSTALAÇÕES ELÉTRICAS</t>
  </si>
  <si>
    <t>Tampa para ralo, em aço inox, de 100x100mm</t>
  </si>
  <si>
    <t>Eletricista</t>
  </si>
  <si>
    <t>SUB-TOTAL - 10</t>
  </si>
  <si>
    <t>SUB-TOTAL - 09</t>
  </si>
  <si>
    <t>Aplicação manual de tinta látex acrílica em parede externas de casas, duas demãos</t>
  </si>
  <si>
    <t>Cobogó de concreto 40 x 40 x 10 cm, tipo reto, assentados com argamassa de cimento e areia no traço 1:3, espessura
das juntas 15 mm</t>
  </si>
  <si>
    <t>050112</t>
  </si>
  <si>
    <t>Bancada de granito com espessura de 2 cm</t>
  </si>
  <si>
    <t>Cuba de embutir de aço inoxidável média, incluso válvula tipo americana em metal cromado e sifão flexível em PVC -fornecimento e instalação</t>
  </si>
  <si>
    <t>Torneira cromada de mesa, 1/2" ou 3/4", para lavatório, padrão popular - fornecimento e instalação</t>
  </si>
  <si>
    <t>010101</t>
  </si>
  <si>
    <t>Ajudante</t>
  </si>
  <si>
    <t>SUB-TOTAL - 12</t>
  </si>
  <si>
    <t>Pintura com verniz filtro solar fosco, linha Premium, em madeira, a três demãos, marcas de referência Suvinil, Coral ou Metalatex</t>
  </si>
  <si>
    <t>Telhadista</t>
  </si>
  <si>
    <t>010150</t>
  </si>
  <si>
    <t>Kit de porta de madeira para pintura, semi-oca (leve ou média), padrão popular, 80x210cm, espessura de 3,5cm, itens inclusos: dobradiças, montagem e instalação do batente, fechadura com execução do furo - fornecimento e instalação</t>
  </si>
  <si>
    <t>91314</t>
  </si>
  <si>
    <t>Luminária LED Industrial</t>
  </si>
  <si>
    <t>(27) 3263-1312</t>
  </si>
  <si>
    <t>Material de Construção Sperandio - Santa Maria de Jetibá/ES</t>
  </si>
  <si>
    <t xml:space="preserve">Discher Material de Construção - Santa Maria de Jetibá/ES </t>
  </si>
  <si>
    <t>010115</t>
  </si>
  <si>
    <t>cotação 1</t>
  </si>
  <si>
    <t>Luminaria LED Industrial HighBay 80W, inclusive lâmpada</t>
  </si>
  <si>
    <t>(27) 3263-5042</t>
  </si>
  <si>
    <t>Elemacol Material de Construção (Matriz) - Cariacica/ES</t>
  </si>
  <si>
    <t>(27) 3254-1622</t>
  </si>
  <si>
    <t>Emassamento de paredes e forros, com duas demãos de massa acrílica, marcas de referência Suvinil, Coral ou Metalatex</t>
  </si>
  <si>
    <t>Bacia sifonada de louça branca com caixa acoplada, inclusive acessórios</t>
  </si>
  <si>
    <t>Chuveiro elétrico tipo ducha Lorenzet ou Corona</t>
  </si>
  <si>
    <t>Kit de acessórios para banheiro em metal cromado, 5 peças, inlcuso fixação</t>
  </si>
  <si>
    <t>Torneira cromada tubo móvel, de mesa, 1/2" ou 3/4", para pia de cozinha, padrão alto - fornecimento e instalação</t>
  </si>
  <si>
    <t>SERVIÇOS COMPLEMENTARES</t>
  </si>
  <si>
    <t>COMPOSIÇÃO 03</t>
  </si>
  <si>
    <t>BDI DIF.: 20,93%</t>
  </si>
  <si>
    <t>Encargos sociais: 122,33%</t>
  </si>
  <si>
    <t>Divisória de granito com 3 cm de espessura, assentada com argamassa de cimento e areia no traço 1:3, na cor cinza</t>
  </si>
  <si>
    <t>Chapisco aplicado em alvenarias e estruturas de concreto internas, com rolo para textura acrílica, argamassa traço 1:4 e emulsão polimérica (adesivo) com reparo manual</t>
  </si>
  <si>
    <t xml:space="preserve">Revestimento cerâmico para piso com placas tipo esmaltada extra de dimensões 60x60 cm aplicada em ambientes de área maior que 10m². </t>
  </si>
  <si>
    <t>Contrapiso em argamassa, traço 1:4 (cimento e areia), preparo manual, aplicado em áreas secas sobre laje, aderido, espessura 2cm.</t>
  </si>
  <si>
    <t>Piso cimentado, traço 1:3 (cimento e areia), acabamento liso, espessura 2cm, preparo mecânico da argamassa, inclusive junta de dilatação.</t>
  </si>
  <si>
    <t>Soleira de granito esp. 2 cm e largura de 15 cm</t>
  </si>
  <si>
    <t xml:space="preserve">m </t>
  </si>
  <si>
    <t>130317</t>
  </si>
  <si>
    <t>Peitoril de granito cinza polido, 15 cm, esp. 3cm</t>
  </si>
  <si>
    <t>Forro de gesso acabamento tipo liso</t>
  </si>
  <si>
    <t>Alvenaria de blocos de concreto estrut. (9x19x39cm) cheios, com resistência mín. compr. 15MPa, assentados c/ arg. de
cimento e areia no traço 1:4, esp. juntas 10mm e esp. da parede s/ revest. 9cm</t>
  </si>
  <si>
    <t>Alambrado com tela losangular de arame fio 12, malha 2" revestido em PVC com tubo de ferro galvanizado vertical de
21/2" e horizontal de 1", pintados com esmalte sobre fundo anti corrosivo</t>
  </si>
  <si>
    <t>COMPOSIÇÃO 04</t>
  </si>
  <si>
    <t>Alambrado com tela losangular de arame fio 12, malha 2" revestido em PVC com tubo de ferro galvanizado vertical de 21/2" e horizontal de 1", pintados com esmalte sobre fundo anti corrosivo</t>
  </si>
  <si>
    <t>Pintor</t>
  </si>
  <si>
    <t>010140</t>
  </si>
  <si>
    <t>Aguarraz Mineral</t>
  </si>
  <si>
    <t>L</t>
  </si>
  <si>
    <t>038001</t>
  </si>
  <si>
    <t>un</t>
  </si>
  <si>
    <t>037502</t>
  </si>
  <si>
    <t>038012</t>
  </si>
  <si>
    <t>027546</t>
  </si>
  <si>
    <t>071270</t>
  </si>
  <si>
    <t>070350</t>
  </si>
  <si>
    <t>038028</t>
  </si>
  <si>
    <t>Esmalte Sintético</t>
  </si>
  <si>
    <t xml:space="preserve">Lixa p/ ferro nº 100 k-246 225x275mm - norton ou equivalente </t>
  </si>
  <si>
    <t xml:space="preserve">Tela de arame galv. Malha # 2" losangular – fio n.12 bwg - revest em pvc </t>
  </si>
  <si>
    <t xml:space="preserve">Tubo aco galv 76,10 x 3,75mm (2.1/2") din 2440 - medio </t>
  </si>
  <si>
    <t>Tubo aco galv. 33,70 x 3,35mm (1") din 2440 - medio</t>
  </si>
  <si>
    <t xml:space="preserve">Zarcao </t>
  </si>
  <si>
    <t>Total</t>
  </si>
  <si>
    <t>SUB-TOTAL - 01</t>
  </si>
  <si>
    <t>Revestimento cerâmico para paredes internas com placas tipo esmaltada extra de dimensões 33x45 cm aplicadas em ambientes de área maior que 5m² na altura inteira das paredes</t>
  </si>
  <si>
    <t>WC/vest feminino</t>
  </si>
  <si>
    <t>WC/vest masculino</t>
  </si>
  <si>
    <t>Almoxarifado</t>
  </si>
  <si>
    <t>Pátio</t>
  </si>
  <si>
    <t>Extintor de incêndio portátil de pó químico ABC com capacidade 2A-20B:C (4 kg), inclusive suporte para fixação, EXCLUSIVE placa sinalizadora em PVC fotoluminescente</t>
  </si>
  <si>
    <t>Tanque em mármore sintético com 2 bojos, inclusive válvula e sifão em PVC</t>
  </si>
  <si>
    <t>Torneira para tanque, marcas de referência Fabrimar, Deca ou Docol</t>
  </si>
  <si>
    <t>COMPOSIÇÃO 05</t>
  </si>
  <si>
    <t>Encanador ou bombeiro hidráulico</t>
  </si>
  <si>
    <t xml:space="preserve">Adaptador PVC soldável, com flanges livres, 32 mm x 1", para caixa d' água </t>
  </si>
  <si>
    <t>Adaptador PVC roscável, com flanges e anel de vedação, 1/2", para caixa d' água</t>
  </si>
  <si>
    <t>Adaptador PVC soldável, longo, com flange livre, 25 mm x 3/4", para caixa d’ água</t>
  </si>
  <si>
    <t>Adesivo plástico para PVC, bisnaga com 75 gr</t>
  </si>
  <si>
    <t>Fita veda rosca em rolos de 18 mm x 10 m (l x c)</t>
  </si>
  <si>
    <t xml:space="preserve">Joelho PVC, soldável, 90 graus, 32 mm, para agua fria predial </t>
  </si>
  <si>
    <t xml:space="preserve">Te soldável, PVC, 90 graus, 32 mm, para agua fria predial (NBR 5648) </t>
  </si>
  <si>
    <t>Tubo PVC, soldável, DN 25 mm, agua fria (NBR-5648)</t>
  </si>
  <si>
    <t>Tubo PVC, soldável, DN 32 mm, agua fria (NBR-5648)</t>
  </si>
  <si>
    <t>Registro de esfera, PVC, com volante, vs, soldável, DN 32 mm, com corpo dividido</t>
  </si>
  <si>
    <t xml:space="preserve">Torneira de boia convencional para caixa d'agua, 1/2", com haste e torneira metálicos e balão plástico  </t>
  </si>
  <si>
    <t>Auxiliar de encanador ou bombeiro hidráulico</t>
  </si>
  <si>
    <t>Caixa d'agua em polietileno 2000 litros, com tampa</t>
  </si>
  <si>
    <t>Elevação 01</t>
  </si>
  <si>
    <t>Elevação 02</t>
  </si>
  <si>
    <t>Elevação 03</t>
  </si>
  <si>
    <t>Elevação 04</t>
  </si>
  <si>
    <t>Pátio (tanque)</t>
  </si>
  <si>
    <t>Prateleiras em granito cinza andorinha, esp. 2cm</t>
  </si>
  <si>
    <t>Cumeeira alumínio ondulada, comprimento = *1,12* m, e = 0,8 mm</t>
  </si>
  <si>
    <t>Cuba louça branca oval, de embutir, Mod. L37, marca de ref. Deca incl. válvula e sifão, exclusive torneira</t>
  </si>
  <si>
    <t>Aparelhos sanitários</t>
  </si>
  <si>
    <t>Aparelhos elétricos</t>
  </si>
  <si>
    <t>Cikala - Indústria e Comércio - São Paulo/SP</t>
  </si>
  <si>
    <t xml:space="preserve">Rodízio 250 x c/ roda pneumática  </t>
  </si>
  <si>
    <t>(11) 2082-4444 ou  (11) 97037-3903</t>
  </si>
  <si>
    <t>(11) 5572-4604</t>
  </si>
  <si>
    <t>Rodimag - Equipamentos Industriais LTDA - São Paulo</t>
  </si>
  <si>
    <t>Rod Klaf - Carrinhos e Acessórios - Belo Horizonte/MG</t>
  </si>
  <si>
    <t xml:space="preserve">(31) 3271- 7039 </t>
  </si>
  <si>
    <t>Roda pneumatica altura 25 cm, rodízio base fixa</t>
  </si>
  <si>
    <t>COMPOSIÇÃO 08</t>
  </si>
  <si>
    <t>cotação 2</t>
  </si>
  <si>
    <t xml:space="preserve">Tubo aço galv 101,6 x 4,25 mm (3.1/2") DIN 2440 - médio </t>
  </si>
  <si>
    <t>079372</t>
  </si>
  <si>
    <t>Dobradiça em latão cromado 3 x 2.1/2" c/ parafuso</t>
  </si>
  <si>
    <t>031601</t>
  </si>
  <si>
    <t>kg</t>
  </si>
  <si>
    <t>Tomada alta de embutir (1 módulo), 2P+T 10 A, incluindo suporte e placa - fornecimento e instalação</t>
  </si>
  <si>
    <t xml:space="preserve">Interruptor simples (1 módulo), 10A/250V, incluindo suporte e placa - fornecimento e instalação   </t>
  </si>
  <si>
    <t>Interruptor simples (1 módulo) com 1 tomada de embutir 2P+T 10 A, incluindo suporte e placa - fornecimento e instalação</t>
  </si>
  <si>
    <t xml:space="preserve">Tomada média de embutir (1 módulo), 2P+T 10 A, incluindo suporte e placa - fornecimento e instalação  </t>
  </si>
  <si>
    <t xml:space="preserve">Tomada média de embutir (2 módulos), 2P+T 10 A, incluindo suporte e placa - fornecimento e instalação         </t>
  </si>
  <si>
    <t xml:space="preserve">Tomada baixa de embutir (2 módulos), 2P+T 10 A, incluindo suporte e placa - fornecimento e instalação    </t>
  </si>
  <si>
    <t>Caixa octogonal 4" x 4", metálica, instalada em laje - fornecimento e instalação</t>
  </si>
  <si>
    <t>Luminária de emergência - fornecimento e instalação</t>
  </si>
  <si>
    <t>COMPOSIÇÃO 09</t>
  </si>
  <si>
    <t>Pedreiro</t>
  </si>
  <si>
    <t>Placa de sinalização de emergência de orientação e salvamento, conforme ABNT NBR 13434/2004 E NT14/2010-ES</t>
  </si>
  <si>
    <t>Bucha plástica com parafuso - 6mm</t>
  </si>
  <si>
    <t>026664</t>
  </si>
  <si>
    <t>067090</t>
  </si>
  <si>
    <t>010139</t>
  </si>
  <si>
    <t>Tomada alta de embutir (1 módulo), 2P+T 20 A, incluindo suporte e placa - fornecimento e instalação</t>
  </si>
  <si>
    <t>Caixas, eletrodutos e condutores</t>
  </si>
  <si>
    <t>Tomada para telefone com conector RJ 11</t>
  </si>
  <si>
    <t xml:space="preserve">Caixa retangular 4" x 2" média, PVC, instalada em parede - fornecimento e instalação  </t>
  </si>
  <si>
    <t xml:space="preserve">Caixa retangular 4" x 2" alta, PVC, instalada em parede - fornecimento e instalação  </t>
  </si>
  <si>
    <t xml:space="preserve">Caixa retangular 4" x 2" baixa, PVC, instalada em parede - fornecimento e instalação  </t>
  </si>
  <si>
    <t>Luminária plafon 24W LED sobrepor</t>
  </si>
  <si>
    <t>JB Material de Construção - Itarana/ES</t>
  </si>
  <si>
    <t>(27) 3720-1704</t>
  </si>
  <si>
    <t xml:space="preserve">Luminária plafon 24W LED sobrepor </t>
  </si>
  <si>
    <t>Mateguaçu Material de Construção - Itaguaçu/ES</t>
  </si>
  <si>
    <t>(27) 3725-1418</t>
  </si>
  <si>
    <t>Vitória Material de Construção - Cariacica/ES</t>
  </si>
  <si>
    <t>(27) 3336-7710 ou (27) 98143-8865</t>
  </si>
  <si>
    <t>Luminaria LED sobrepor, 24W, quadrada, tipo plafon</t>
  </si>
  <si>
    <t>COMPOSIÇÃO 10</t>
  </si>
  <si>
    <t>cotação 3</t>
  </si>
  <si>
    <t>Circulação - luz de emergência</t>
  </si>
  <si>
    <t>WC/vest feminino - chuveiro 220V</t>
  </si>
  <si>
    <t>WC/vest masculino - chuveiro 220V</t>
  </si>
  <si>
    <t>Salas de apoio</t>
  </si>
  <si>
    <t>Luminaria LED Industrial HighBay 80W, bivolt, inclusive lâmpada - fornecimento e instalação</t>
  </si>
  <si>
    <t>Fio de cobre termoplástico, com isolamento para 750V, seção de 2.5 mm²</t>
  </si>
  <si>
    <t>Fio ou cabo de cobre termoplástico, com isolamento para 750V, seção de 4.0 mm²</t>
  </si>
  <si>
    <t>Fio ou cabo de cobre termoplástico, com isolamento para 750V, seção de 16.0 mm²</t>
  </si>
  <si>
    <t>Eletroduto flexível corrugado, PVC, DN 25 mm (3/4"), para ciurcuitos terminais, instalado em parede - fornecimento e instalação.</t>
  </si>
  <si>
    <t>Eletroduto flexível corrugado, PEAD, DN 40 mm (1.1/4"), para ciurcuitos terminais, instalado em parede - fornecimento e instalação.</t>
  </si>
  <si>
    <t>Placa de sinalização de segurança contra incêndio, fotoluminescente, quadrada, 20x20 cm, em PVC</t>
  </si>
  <si>
    <t>Placa de sinalização de segurança contra incêndio, fotoluminescente, quadrada, *20 x 20* cm, em PVC *2* mm anti-chamas (símbolos, cores e pictogramas conforme NBR 13434)</t>
  </si>
  <si>
    <t>00037556</t>
  </si>
  <si>
    <t>Padrão de entrada de energia elétrica, trifásico, entrada aérea, a 4 fios, carga instalada em muro de 57001 até 75000W - 220/127V</t>
  </si>
  <si>
    <t>Tomada industrial de sobrepor, 380/415V, 3P+T+N-32A</t>
  </si>
  <si>
    <t>Merkatho - Porto Alegre/RS</t>
  </si>
  <si>
    <t>(51) 3276-7635 ou (51) 99923-1997</t>
  </si>
  <si>
    <t>Tomada sobrepor 380/415V 3P+T+N 32A</t>
  </si>
  <si>
    <t>View Tech Engenharia - Marília/SP</t>
  </si>
  <si>
    <t>(14) 3301-8411 ou (14) 991095751</t>
  </si>
  <si>
    <t>APS Componentes Elétricos - São Paulo/SP</t>
  </si>
  <si>
    <t>(11) 5645-0800 ou (11) 97096-2326</t>
  </si>
  <si>
    <t xml:space="preserve">Carrinho de carga, sob medida, 3,50(C)x1,10(A)x1,20(L) m, com tela de arame galvanizado, malha losangular de 2", fio 12, tubo de aço galvanizado (3.1/2"), roda pneumática, 0,25(A) m, com rodízio de base fixa, chapa de aço (esp. de 2 mm), inclusive portão. </t>
  </si>
  <si>
    <t xml:space="preserve">Carrinho de carga, sob medida, 3,50(C)x1,10(A)x1,20(L) m, com tela de arame galvanizado, malha losangular de 2", fio 12, tubo de aço galvanizado (3.1/2"), roda pneumática, 0,25(A) m, com rodízio de base fixa, chapa de aço (esp. de 2 mm) e pintura anti-corrosiva - inclusive portão. </t>
  </si>
  <si>
    <t>cotação 4</t>
  </si>
  <si>
    <t>WC/Vest Masculino</t>
  </si>
  <si>
    <t>WC/Vest Feminino</t>
  </si>
  <si>
    <t>Seção de 2,5 mm²</t>
  </si>
  <si>
    <t>Seção de 4,0 mm²</t>
  </si>
  <si>
    <t>Seção de 16,0 mm²</t>
  </si>
  <si>
    <t>SERVIÇOS PRELIMINARES</t>
  </si>
  <si>
    <t>020305</t>
  </si>
  <si>
    <t>Placa de obra nas dimensões de 2.0 x 4.0 m, padrão PMI</t>
  </si>
  <si>
    <t>Capina e limpeza manual de terreno</t>
  </si>
  <si>
    <t>010501</t>
  </si>
  <si>
    <t>Locação de obra com gabarito de madeira</t>
  </si>
  <si>
    <t>Fundação - Sapatas</t>
  </si>
  <si>
    <t>030101</t>
  </si>
  <si>
    <t>Escavação manual em material de 1a. categoria, até 1.50 m de profundidade</t>
  </si>
  <si>
    <t>m³</t>
  </si>
  <si>
    <t>040243</t>
  </si>
  <si>
    <t>Fornecimento, dobragem e colocação em fôrma, de armadura CA-50 A média, diâmetro de 6.3 a 10.0 mm</t>
  </si>
  <si>
    <t>040324</t>
  </si>
  <si>
    <t>Fornecimento, preparo e aplicação de concreto Fck=25 MPa (brita 1 e 2) - (5% de perdas já incluído no custo)</t>
  </si>
  <si>
    <t>Reaterro manual apiloado com soquete.</t>
  </si>
  <si>
    <t>Execução de passeio (calçada) ou piso de concreto com croncreto moldado in loco, feito em obra, acabamento convencional, não armado</t>
  </si>
  <si>
    <t>Fôrma de chapa compensada resinada 12mm, levando-se em conta a utilização 3 vezes (incluido o material, corte,
montagem, escoramento e desfôrma)</t>
  </si>
  <si>
    <t>REVESTIMENTO DE PISOS</t>
  </si>
  <si>
    <t>REVESTIMENTO DE TETOS</t>
  </si>
  <si>
    <t>Caixa d´agua em polietileno, 2000 litros - inclusive acessórios e conexões</t>
  </si>
  <si>
    <t>Grade de ferro em barra chata, inclusive chumbamento</t>
  </si>
  <si>
    <t>Portão de ferro de abrir em barra chata, chapa e tubo, inclusive chumbamento</t>
  </si>
  <si>
    <t>Janela - Escritório</t>
  </si>
  <si>
    <t>Janela - Cozinha</t>
  </si>
  <si>
    <t>Porta - Salas de apoio</t>
  </si>
  <si>
    <t>Regularização de superfícies em terra com motoniveladora</t>
  </si>
  <si>
    <t>Fornecimento, dobragem e colocação em fôrma, de armadura CA-50 A grossa, diâmetro de 12.5 a 25.0mm</t>
  </si>
  <si>
    <t>1.0</t>
  </si>
  <si>
    <t>1.1</t>
  </si>
  <si>
    <t>1.2</t>
  </si>
  <si>
    <t>1.3</t>
  </si>
  <si>
    <t>1.4</t>
  </si>
  <si>
    <t>1.5</t>
  </si>
  <si>
    <t>2.0</t>
  </si>
  <si>
    <t>2.1</t>
  </si>
  <si>
    <t>2.1.1</t>
  </si>
  <si>
    <t>2.1.2</t>
  </si>
  <si>
    <t>2.1.3</t>
  </si>
  <si>
    <t>2.1.4</t>
  </si>
  <si>
    <t>2.1.5</t>
  </si>
  <si>
    <t>2.2.1</t>
  </si>
  <si>
    <t>2.2.2</t>
  </si>
  <si>
    <t>2.2.3</t>
  </si>
  <si>
    <t>2.2.4</t>
  </si>
  <si>
    <t>2.2</t>
  </si>
  <si>
    <t>2.3</t>
  </si>
  <si>
    <t>2.3.1</t>
  </si>
  <si>
    <t>2.3.2</t>
  </si>
  <si>
    <t>2.3.3</t>
  </si>
  <si>
    <t>2.3.4</t>
  </si>
  <si>
    <t>2.3.5</t>
  </si>
  <si>
    <t>2.4</t>
  </si>
  <si>
    <t>Pilares</t>
  </si>
  <si>
    <t>2.4.1</t>
  </si>
  <si>
    <t>2.4.2</t>
  </si>
  <si>
    <t>2.4.3</t>
  </si>
  <si>
    <t>2.4.4</t>
  </si>
  <si>
    <t>2.5</t>
  </si>
  <si>
    <t>Fornecimento, dobragem e colocação em fôrma, de armadura CA-60 B fina, diâmetro de 4.0 a 7.0mm</t>
  </si>
  <si>
    <t>2.5.1</t>
  </si>
  <si>
    <t>2.5.2</t>
  </si>
  <si>
    <t>2.5.3</t>
  </si>
  <si>
    <t>2.5.4</t>
  </si>
  <si>
    <t>Arranques</t>
  </si>
  <si>
    <t>2.6</t>
  </si>
  <si>
    <t>Escoramento formas até h=3,30 m, com madeira de 3ª qualidade, não aparelhada, aproveitamento tábuas 3x e prumos 4x</t>
  </si>
  <si>
    <t>Escada</t>
  </si>
  <si>
    <t>2.7</t>
  </si>
  <si>
    <t>2.6.1</t>
  </si>
  <si>
    <t>2.6.2</t>
  </si>
  <si>
    <t>2.6.3</t>
  </si>
  <si>
    <t>2.7.1</t>
  </si>
  <si>
    <t>Corrimão de tubo de ferro galvanizado diâmetro 3" com chumbadores a cada 1.50m, inclusive pintura a óleo ou esmalte</t>
  </si>
  <si>
    <t xml:space="preserve">Base de coleta </t>
  </si>
  <si>
    <t>Lajes</t>
  </si>
  <si>
    <t>2.8</t>
  </si>
  <si>
    <t>Lastro de areia</t>
  </si>
  <si>
    <t>Lastro impermeabilizado de concreto não estrutural, espessura de 8cm</t>
  </si>
  <si>
    <t>2.8.1</t>
  </si>
  <si>
    <t>2.8.2</t>
  </si>
  <si>
    <t>2.8.3</t>
  </si>
  <si>
    <t>2.8.4</t>
  </si>
  <si>
    <t>2.9</t>
  </si>
  <si>
    <t>Verga/contraverga reta de concreto armado 10 x 5 cm, Fck = 15 MPa, inclusive forma, armação e desforma</t>
  </si>
  <si>
    <t>2.9.1</t>
  </si>
  <si>
    <t>Ref. De Preços: IOPES/SINAPI</t>
  </si>
  <si>
    <t>DATA-BASE: julho/2019</t>
  </si>
  <si>
    <t>Pisos e calçadas</t>
  </si>
  <si>
    <t>2.9.2</t>
  </si>
  <si>
    <t>Conjunto fixação p/ telha de alumínio ondulada</t>
  </si>
  <si>
    <t>026678</t>
  </si>
  <si>
    <t>Mão de Obra</t>
  </si>
  <si>
    <t xml:space="preserve">Arame galvanizado N.14 AWG </t>
  </si>
  <si>
    <t>027020</t>
  </si>
  <si>
    <t>Sub-total</t>
  </si>
  <si>
    <t>Fator Ac.</t>
  </si>
  <si>
    <t>-</t>
  </si>
  <si>
    <t xml:space="preserve">Materiais </t>
  </si>
  <si>
    <t xml:space="preserve">Fator Ac. </t>
  </si>
  <si>
    <t>0,52 IF</t>
  </si>
  <si>
    <t>Coeficientes e preços retirados da tabela de custos do Instituto de Obras Públicas do Espírito Santo - IOPES, item 200101 - Alambrado c/ tela losangular de arame fio 12 malha 2" revest. em PVC com tubo de ferro galvanizado vertical de 2 1/2" e
horizontal de 1" incl. portão, pintados com esmalte sobre fundo anticorrosivo.</t>
  </si>
  <si>
    <t>Coeficientes e preços retirados da tabela de custos do Instituto de Obras Públicas do Espírito Santo - IOPES, item 180101 - Luminária p/ duas lâmpadas fluorescentes 20W, completa, c/ reator duplo-127V partida rápida e alto fator de potência,
soquete antivibratório e lâmpada fluorescente 20W-127V.</t>
  </si>
  <si>
    <t>Coeficientes e preços retirados da tabela de custos do Instituto de Obras Públicas do Espírito Santo - IOPES, item 090219 - Cobertura em telha ondulada de alumínio, esp. 0,5 mm, inclusive acessórios de fixação.</t>
  </si>
  <si>
    <t>Coeficientes e preços retirados da tabela de custos do Sistema Nacional de Pesquisa de Custos e Índices da Construção Civil - SINAPI, Item 88504 - Caixa d´agua em polietileno, 500 litros, com acessórios.</t>
  </si>
  <si>
    <t>00000067</t>
  </si>
  <si>
    <t>00000068</t>
  </si>
  <si>
    <t>00000087</t>
  </si>
  <si>
    <t>00000119</t>
  </si>
  <si>
    <t>00003146</t>
  </si>
  <si>
    <t>00003536</t>
  </si>
  <si>
    <t>00007140</t>
  </si>
  <si>
    <t>00009868</t>
  </si>
  <si>
    <t>00009869</t>
  </si>
  <si>
    <t>00011675</t>
  </si>
  <si>
    <t>00011829</t>
  </si>
  <si>
    <t>00034640</t>
  </si>
  <si>
    <t>00007241</t>
  </si>
  <si>
    <t>Cumeeira para telha de alumínio ondulada, esp. de 0,8 mm, inlcuso acessórios de fixação e içamento</t>
  </si>
  <si>
    <t>Conjunto arruelas de vedação 5/16" para telha fibrocimento (uma aruela metálica e uma arruela PVC - cônicas)</t>
  </si>
  <si>
    <t>00001607</t>
  </si>
  <si>
    <t>Parafuso zincado rosca soberba, cabeça sextavada, 5/16"x250 mm, para fixação de telha em madeira</t>
  </si>
  <si>
    <t>00004302</t>
  </si>
  <si>
    <t>Equipamentos</t>
  </si>
  <si>
    <t>Guincho elétrico de coluna, capacidade 400 kg, com moto freio, motor trifásico de 1,25 CV - CHP diurno</t>
  </si>
  <si>
    <t>00093281</t>
  </si>
  <si>
    <t>CHP</t>
  </si>
  <si>
    <t>CHI</t>
  </si>
  <si>
    <t>Guincho elétrico de coluna, capacidade 400 kg, com moto freio, motor trifásico de 1,25 CV - CHI diurno</t>
  </si>
  <si>
    <t>00093282</t>
  </si>
  <si>
    <t>Servente com encargos complementares</t>
  </si>
  <si>
    <t>Telhadista com encargos complementares</t>
  </si>
  <si>
    <t>Coeficientes e preços retirados da tabela de custos do Sistema Nacional de Pesquisa de Custos e Índices da Construção Civil - SINAPI, Item 94223 - Cumeeira para telha de fibrocimento ondulada E = 6 mm, inlcuso acessórios de fixação e içamento.</t>
  </si>
  <si>
    <t>031647</t>
  </si>
  <si>
    <t>Trinco chato em aço cromado de embutir 20 cm</t>
  </si>
  <si>
    <t>Chapa de aço galvanizado Nº 16 (esp. 1,55mm)</t>
  </si>
  <si>
    <t>068020</t>
  </si>
  <si>
    <t>Preços retirados da tabela de custos do Instituto de Obras Públicas do Espírito Santo - IOPES.</t>
  </si>
  <si>
    <t>Coeficientes retirados da tabela de custos do Instituto de Obras Públicas do Espírito Santo - IOPES, item 160612 - Placa de sinalização de segurança CODIGO 14 - 315/158(NBR 13.434); CÓDIGO S3(NT 14/2010-ES) ("SAIDA DE
EMERGÊNCIA" - seta vertical).</t>
  </si>
  <si>
    <t>Placa de sinalização de segurança CODIGO 14 - 315/158(NBR 13.434); CÓDIGO S3(NT 14/2010-ES) ("SAIDA DE EMERGÊNCIA"), conforme projeto.</t>
  </si>
  <si>
    <t>Coeficientes retirados da tabela de custos do Instituto de Obras Públicas do Espírito Santo - IOPES, item 180115 - Luminária tipo globo de plástico 9x4", inclusive plafonier.</t>
  </si>
  <si>
    <t>Coeficientes e serviços retirados da tabela de custos do Instituto de Obras Públicas do Espírito Santo - IOPES, item 160612 - Placa de sinalização de segurança CODIGO 14 - 315/158(NBR 13.434); CÓDIGO S3(NT 14/2010-ES) ("SAIDA DE
EMERGÊNCIA" - seta vertical). Obs.: somente o item 00037556 foi retirado da tabela do Sistema Nacional de Pesquisa de Custos e Índices da Construção Civil - SINAPI.</t>
  </si>
  <si>
    <t>Coeficientes e serviços retirados da tabela de custos do Instituto de Obras Públicas do Espírito Santo - IOPES, item 180202 - Tomada padrão brasileiro linha branca, NBR 14136 2 polos + terra 20A/250V, com placa 4x2".</t>
  </si>
  <si>
    <t xml:space="preserve">Caixa d´água em polietileno, 2000 litros - inclusive acessórios e conexões </t>
  </si>
  <si>
    <t>COMPOSIÇÃO 02</t>
  </si>
  <si>
    <t>COMPOSIÇÃO 11</t>
  </si>
  <si>
    <t>COMPOSIÇÃO 07</t>
  </si>
  <si>
    <t>Placa de sinalização de segurança CODIGO 14 - 315/158(NBR 13.434); CÓDIGO S3(NT 14/2010-ES) ("SAIDA DE EMERGÊNCIA"), conforme projeto</t>
  </si>
  <si>
    <t>Fôrma de chapa compensada resinada 12mm, levando-se em conta a utilização 3 vezes (incluido o material, corte, montagem, escoramento e desfôrma)</t>
  </si>
  <si>
    <t xml:space="preserve">V101 e V103 - 3,65 m </t>
  </si>
  <si>
    <t xml:space="preserve">V102 - 3,70 m </t>
  </si>
  <si>
    <t>V104 e V105 - 1,45 m</t>
  </si>
  <si>
    <t>V106 - 1,00 m</t>
  </si>
  <si>
    <t>V108 - 6,25 m</t>
  </si>
  <si>
    <t>V110 - 5,00 m</t>
  </si>
  <si>
    <t xml:space="preserve">V111 e V112 - 4,90 m </t>
  </si>
  <si>
    <t xml:space="preserve">V113, V114, V118, V120, V121, V123, V124, V125 e V126 - 2,30 m </t>
  </si>
  <si>
    <t>V115 e V127 - 3,50 m</t>
  </si>
  <si>
    <t xml:space="preserve">V116, V117, V128 e V129 - 3,80 m </t>
  </si>
  <si>
    <t>V119 e V122 - 1,40 m</t>
  </si>
  <si>
    <t>V107 e V109 - 6,35 m</t>
  </si>
  <si>
    <t>Sapatas 105x105</t>
  </si>
  <si>
    <t>Sapatas 120x120</t>
  </si>
  <si>
    <t>Sapatas 105x105 (Dir. X e Y: 4 ø10.0 c/28 C=97)</t>
  </si>
  <si>
    <t>Sapatas 120x120 (Dir. X e Y: 5 ø10.0 c/23 C=112)</t>
  </si>
  <si>
    <t>Sapatas 105 x 105 x 30/20</t>
  </si>
  <si>
    <t>Sapatas 120 x 120 x 35/25</t>
  </si>
  <si>
    <t>COEFIC.</t>
  </si>
  <si>
    <t>DESCONTO</t>
  </si>
  <si>
    <t>V101 e V103</t>
  </si>
  <si>
    <t xml:space="preserve">V102 </t>
  </si>
  <si>
    <t xml:space="preserve">V104 e V105 </t>
  </si>
  <si>
    <t xml:space="preserve">V106 </t>
  </si>
  <si>
    <t xml:space="preserve">V107 e V109 </t>
  </si>
  <si>
    <t xml:space="preserve">V108 </t>
  </si>
  <si>
    <t xml:space="preserve">V110 </t>
  </si>
  <si>
    <t xml:space="preserve">V111 e V112 </t>
  </si>
  <si>
    <t xml:space="preserve">V113, V114, V118, V120, V121, V123, V124, V125 e V126 </t>
  </si>
  <si>
    <t xml:space="preserve">V115 e V127 </t>
  </si>
  <si>
    <t xml:space="preserve">V116, V117, V128 e V129 </t>
  </si>
  <si>
    <t xml:space="preserve">V119 e V122 </t>
  </si>
  <si>
    <t>Armadura horizontal - V101 a V129 - 628N4Ø5,0 c/ 15 C=80</t>
  </si>
  <si>
    <t>P10 ao P15</t>
  </si>
  <si>
    <t>P16 ao P21 - cota +0,00 a +1,00</t>
  </si>
  <si>
    <t>P01 ao P06 - cota +0,00 a +3,00</t>
  </si>
  <si>
    <t>P07 ao P09 - cota +0,00 a +3,00</t>
  </si>
  <si>
    <t>P10 ao P15 - cota +0,00 a +6,00</t>
  </si>
  <si>
    <t>ALTURA
(m)</t>
  </si>
  <si>
    <t>Qtd de lados</t>
  </si>
  <si>
    <t xml:space="preserve">Armadura horizontal - P10 ao P15 - 40N3Ø6,3 c/ 15 C=129 </t>
  </si>
  <si>
    <t>Armadura horizontal - P10 ao P15 - 40N4Ø6,3 c/ 15 C=27</t>
  </si>
  <si>
    <t>Armadura horizontal - P16 ao P21 - 7N1Ø6,3 c/ 15 C=89</t>
  </si>
  <si>
    <t xml:space="preserve">Armadura longitudinal - P10 ao P15 - 4N1Ø12,5 C=615 </t>
  </si>
  <si>
    <t xml:space="preserve">Armadura longitudinal - P10 ao P15 - 2N2Ø12,5 C=625 </t>
  </si>
  <si>
    <t>Armadura vertical - V101 a V129 - 2N2Ø8,0 C=10421</t>
  </si>
  <si>
    <t>Armadura vertical - V101 a V129 - 2N2Ø10,0 C=10421</t>
  </si>
  <si>
    <t>Armadura vertical - V101 a V129 - 2N3Ø10,0 C=10421</t>
  </si>
  <si>
    <t>V102</t>
  </si>
  <si>
    <t>V104 e V105</t>
  </si>
  <si>
    <t>Armadura longitudinal - P16 ao P21 - 4A1Ø12,5 C=248</t>
  </si>
  <si>
    <t>Cabo de cobre termoplástico, com isolamento para 1000V, seção de 95.0 mm2</t>
  </si>
  <si>
    <t>Mini-Disjuntor monopolar 20 A, curva C - 5KA 220/127VCA (NBR IEC 60947-2), Ref. Siemens, GE, Schneider ou
equivalente</t>
  </si>
  <si>
    <t>Mini-Disjuntor bipolar 20 A, curva C - 5KA 220/127VCA (NBR IEC 60947-2), Ref. Siemens, GE, Schneider ou equivalente</t>
  </si>
  <si>
    <t>Mini-Disjuntor bipolar 25 A, curva C - 5KA 220/127VCA (NBR IEC 60947-2), Ref. Siemens, GE, Schneider ou equivalente</t>
  </si>
  <si>
    <t>Mini-Disjuntor tripolar 25 A, curva C - 5KA 220/127VCA (NBR IEC 60947-2), Ref. Siemens, GE, Schneider ou equivalente</t>
  </si>
  <si>
    <t>Mini-Disjuntor tripolar 63 A, curva C - 5KA 220/127VCA (NBR IEC 60947-2), Ref. Siemens, GE, Schneider ou equivalente</t>
  </si>
  <si>
    <t>Disjuntor Compacto em caixa moldada tripolar 200 A, 50KA 220/240V / 25KA 380/415V 20KA/440V (NBR IEC 60947-2),
Ref. Siemens, GE, Schneider ou equivalente</t>
  </si>
  <si>
    <t>Quadro distrib. energia, embutido ou semi embutido, capac. p/ 16 disj. DIN, c/barram trif. 100A barra. neutro e terra, fab.
em chapa de aço 12 USG com porta, espelho, trinco com fechad ch yale, Ref. QDTN II-16DIN-CEMAR ou equiv.</t>
  </si>
  <si>
    <t>Quadro distrib. energia, embutido ou semi embutido, capac. p/ 44 disj. DIN, c/barram trif. 100A barra. neutro e terra, fab.
em chapa de aço 12 USG com porta, espelho, trinco com fechad ch yale, Ref. QDTN II-44DIN-CEMAR ou equiv</t>
  </si>
  <si>
    <t>P07 e P09 - cota +3,00 a +6,00</t>
  </si>
  <si>
    <t xml:space="preserve">Armadura longitudinal - P07 e P09 - 4N1Ø12,5 C=315 </t>
  </si>
  <si>
    <t>Armadura horizontal - P07 e P09 - 20N2Ø6,3 c/ 15 C=89</t>
  </si>
  <si>
    <t xml:space="preserve">P07 e P09 </t>
  </si>
  <si>
    <t xml:space="preserve">P16 ao P21 </t>
  </si>
  <si>
    <t xml:space="preserve">P01 ao P06 e P08 </t>
  </si>
  <si>
    <t xml:space="preserve">Armadura longitudinal - P01 ao P06 e P08 - 4N1Ø12,5 C=298 </t>
  </si>
  <si>
    <t>Armadura longitudinal - P07 e P09 - 4N1Ø12,5 C=395</t>
  </si>
  <si>
    <t>Armadura horizontal - P01 ao P06 e P08 - 20N2Ø6,3 c/ 15 C=89</t>
  </si>
  <si>
    <t>Vigas Baldrames - piso 01</t>
  </si>
  <si>
    <t>Vigas - piso 02 e 03</t>
  </si>
  <si>
    <t>V201 - 3,70 m</t>
  </si>
  <si>
    <t>V202 e V203 - 1,45 m</t>
  </si>
  <si>
    <t>V204 - 1,00 m</t>
  </si>
  <si>
    <t>V205 e V206 - 1,40 m</t>
  </si>
  <si>
    <t>PISO 02</t>
  </si>
  <si>
    <t>PISO 03</t>
  </si>
  <si>
    <t>V302 e V306 - 4,90 m</t>
  </si>
  <si>
    <t>V301 e V305 - 6,35 m</t>
  </si>
  <si>
    <t>V303 - 6,25 m</t>
  </si>
  <si>
    <t>V304 - 5,00 m</t>
  </si>
  <si>
    <t xml:space="preserve">V307 a V315 - 2,30 m </t>
  </si>
  <si>
    <t>Armadura vertical - V201 a V206 - 2N2Ø8,0 C=1311</t>
  </si>
  <si>
    <t>Armadura vertical - V201 a V206 - 2N2Ø10,0 C=1311</t>
  </si>
  <si>
    <t>Armadura vertical - V201 a V209 - 2N3Ø10,0 C=1311</t>
  </si>
  <si>
    <t>Armadura vertical - V301 a V315 - 2N2Ø8,0 C=5970</t>
  </si>
  <si>
    <t>Armadura vertical - V301 a V315 - 2N2Ø10,0 C=5970</t>
  </si>
  <si>
    <t>Armadura horizontal - V201 a V206 - 70N4Ø5,0 c/ 15 C=80</t>
  </si>
  <si>
    <t>Armadura vertical - V301 a V315 - 363N4Ø5,0 c/ 15 C=80</t>
  </si>
  <si>
    <t>Forma para base</t>
  </si>
  <si>
    <t>L1 - 21Ø5,0 c/ 11 C=423</t>
  </si>
  <si>
    <t>L1 - 37Ø5,0 c/ 11 C=260</t>
  </si>
  <si>
    <t>L1 - 15Ø5,0 c/ 16 C=160</t>
  </si>
  <si>
    <t>L1 - 15Ø5,0 c/ 16 C=100</t>
  </si>
  <si>
    <t>L1 - 25Ø5,0 c/ 16 C=100</t>
  </si>
  <si>
    <t>L1/L2 - 25Ø5,0 c/ 16 C=160</t>
  </si>
  <si>
    <t>L2 - 21Ø5,0 c/ 11 C=423</t>
  </si>
  <si>
    <t>L2 - 37Ø5,0 c/ 11 C=260</t>
  </si>
  <si>
    <t>L2 - 15Ø5,0 c/ 1 C=160</t>
  </si>
  <si>
    <t>L2 - 15Ø5,0 c/ 16 C=100</t>
  </si>
  <si>
    <t>L2 - 25Ø5,0 c/ 16 C=100</t>
  </si>
  <si>
    <t>L1 e L2</t>
  </si>
  <si>
    <t>Escada em concreto armado, fck = 15 Mpa, moldada in loco</t>
  </si>
  <si>
    <t>Projeto estrutural</t>
  </si>
  <si>
    <t>Tela soldada em aço tipo telcon Q-138 para armadura, fornecimento e instalação</t>
  </si>
  <si>
    <t>Tela soldada em aço tipo telcon Q-138 p/ armadura</t>
  </si>
  <si>
    <t>021543</t>
  </si>
  <si>
    <t>Serviços retirados da tabela de custos do Instituto de Obras Públicas do Espírito Santo - IOPES.</t>
  </si>
  <si>
    <t>COMPOSIÇÃO 12</t>
  </si>
  <si>
    <t xml:space="preserve">Estrutura para coletar o material despejado </t>
  </si>
  <si>
    <t>Mesa para coleta</t>
  </si>
  <si>
    <t>Fechamento da escada</t>
  </si>
  <si>
    <t xml:space="preserve">Pátio </t>
  </si>
  <si>
    <t>Fornecimento, preparo e aplicação de concreto magro com consumo mínimo de cimento de 250 kg/m3 (brita 1 e 2) - (5% de perdas já incluído no custo)</t>
  </si>
  <si>
    <t>2.9.3</t>
  </si>
  <si>
    <t>Calçada lateral</t>
  </si>
  <si>
    <t>P01 ao P09 e P16 ao P21</t>
  </si>
  <si>
    <t>P01 ao P09 e P16 ao P21 - 4x1Ø12,5 C=147</t>
  </si>
  <si>
    <t>Paredes externas das salas de apoio - elevação 03</t>
  </si>
  <si>
    <t>Paredes externas das salas de apoio - elevação 01</t>
  </si>
  <si>
    <t>Paredes externas das salas de apoio - elevação 02</t>
  </si>
  <si>
    <t>Paredes externas das salas de apoio - elevação 04</t>
  </si>
  <si>
    <t>Paredes internas da salas de apoio - almoxarifado</t>
  </si>
  <si>
    <t>Paredes internas da salas de apoio - escritório/cozinha</t>
  </si>
  <si>
    <t>Paredes internas da salas de apoio - cozinha/circ.</t>
  </si>
  <si>
    <t>Paredes internas da salas de apoio - WC/Vest feminino/circ.</t>
  </si>
  <si>
    <t>Paredes internas da salas de apoio - WC/Vest masculino</t>
  </si>
  <si>
    <t>Portas - 80x210 cm</t>
  </si>
  <si>
    <t>Paredes internas - almoxarifado</t>
  </si>
  <si>
    <t>Paredes internas - muro e pilares do pátio</t>
  </si>
  <si>
    <t>Paredes internas - escritório</t>
  </si>
  <si>
    <t>Paredes internas - cozinha</t>
  </si>
  <si>
    <t>Paredes internas - circulação</t>
  </si>
  <si>
    <t>Paredes internas - WC/Vest masculino</t>
  </si>
  <si>
    <t>Paredes internas - WC/Vest feminino</t>
  </si>
  <si>
    <t>Estrutura para coletar o material despejado</t>
  </si>
  <si>
    <t>WC/vest - sanitário e chuveiro</t>
  </si>
  <si>
    <t>Portas - sala de apoio</t>
  </si>
  <si>
    <t>WC/vest - sanitário</t>
  </si>
  <si>
    <t>WC/vest - chuveiro</t>
  </si>
  <si>
    <t xml:space="preserve">Trama de aço composta por terças para telhados de até duas águas para telha ondulada de fibrocimento, metálica, plástica ou termoacústica, incluso transporte vertical </t>
  </si>
  <si>
    <t>Estrut. metálica p/ quadra poliesp. coberta constituída por perfis formados a frio, aço estrutural ASTM A-570 G33 (terças) ASTM A-36 (demais perfis) c/ o sistema de trat. e pint conf descrito em notas da planilha</t>
  </si>
  <si>
    <t>Mão de obra e acessórios de fixação para instalação de cobertura em telha ondulada de alumínio - exclusive a telha</t>
  </si>
  <si>
    <t>COMPOSIÇÃO 01</t>
  </si>
  <si>
    <t>Telhado para salas de apoio - i=10%</t>
  </si>
  <si>
    <t>Telhado para pátio - i=20%</t>
  </si>
  <si>
    <t>Fechamento lateral</t>
  </si>
  <si>
    <t>COMPOSIÇÃO 06</t>
  </si>
  <si>
    <t>Telhado - salas de apoio - i=10%</t>
  </si>
  <si>
    <t>Telhado - para pátio - i=20%</t>
  </si>
  <si>
    <t>Telhado - pátio</t>
  </si>
  <si>
    <t xml:space="preserve">Almoxarifado </t>
  </si>
  <si>
    <t>Planta baixa hidrossanitário - água fria</t>
  </si>
  <si>
    <t>Planta baixa hidrossanitário - esgoto</t>
  </si>
  <si>
    <t>Rodapé de argamassa de cimento e areia no traço 1:3, altura de 7 cm e espessura de 2 cm</t>
  </si>
  <si>
    <t>Disjuntor diferencial residual bipolar 25A</t>
  </si>
  <si>
    <t>Eletromac - Uberlandia/MG</t>
  </si>
  <si>
    <t>(34) 3292-4400 ou (34) 99992-3363</t>
  </si>
  <si>
    <t>BHS Eletrônica - São Paulo/SP</t>
  </si>
  <si>
    <t>(11) 2081-8168 ou (11) 98324-0256</t>
  </si>
  <si>
    <t>Dragão Material Elétrico - Colatina/ES</t>
  </si>
  <si>
    <t>(27) 99504-0790</t>
  </si>
  <si>
    <t>Disjuntor diferencial residual bipolar 25A, fornecimento e instalação</t>
  </si>
  <si>
    <t>Cotação</t>
  </si>
  <si>
    <t>Coeficientes retirados tabela de custos do Sistema Nacional de Pesquisa de Custos e Índices da Construção Civil - SINAPI, Item 93663 - Disjuntor bipolar tipo DIN, corrente nominal de 25A - fornecimento e instalação</t>
  </si>
  <si>
    <t>COMPOSIÇÃO 13</t>
  </si>
  <si>
    <t>Eletroduto de PVC rígido roscável, diâm. 2" (60mm), inclusive conexões</t>
  </si>
  <si>
    <t xml:space="preserve">QGBT </t>
  </si>
  <si>
    <t>QGBT para QDFL</t>
  </si>
  <si>
    <t>QDFL</t>
  </si>
  <si>
    <t>QGBT</t>
  </si>
  <si>
    <t xml:space="preserve">QGBT para QDFL </t>
  </si>
  <si>
    <t>Quadro de medição</t>
  </si>
  <si>
    <t>Quadro de medição para QGBT</t>
  </si>
  <si>
    <t xml:space="preserve">Quadro de medição </t>
  </si>
  <si>
    <t>QDFL - circuito 03</t>
  </si>
  <si>
    <t>Carrinho de carga</t>
  </si>
  <si>
    <t>Pátio - placa para extintores</t>
  </si>
  <si>
    <t>Seção de 95,0 mm²</t>
  </si>
  <si>
    <t>WC/Vest Masculino e Feminino</t>
  </si>
  <si>
    <t>Paredes internas - muros e pilares do pátio</t>
  </si>
  <si>
    <t>Portas - salas de apoio</t>
  </si>
  <si>
    <t>Aluguel mensal container para almoxarifado, incl. porta, 2 janelas, 1 pt iluminação, Isolamento térmico (teto), piso em
comp. Naval pintado, cert. NR18, incl. laudo descontaminação.</t>
  </si>
  <si>
    <t>ms</t>
  </si>
  <si>
    <t>INFRAESTRUTURA E SUPERESTRUTURA</t>
  </si>
  <si>
    <t xml:space="preserve">Lastro de concreto magro, aplicado em bloco de coroamento ou sapatas, espessura de 5 cm. </t>
  </si>
  <si>
    <t>Alvenaria estrutural de blocos cerâmicos 14x19x39 (espessura de 14 cm), para paredes com área líquida maior ou igual que 6 m², sem vãos, uilizando palheta e argamassa de assentamento com preparo em betoneira</t>
  </si>
  <si>
    <t>89284</t>
  </si>
  <si>
    <t>BDI: 26,31%</t>
  </si>
  <si>
    <t>020356</t>
  </si>
  <si>
    <t>73859/2</t>
  </si>
  <si>
    <t>Fossa séptica de anéis pré-moldados de concreto, diâmetro 1,20 m, altura útil de 1,50m, completa, incluindo tampa com visita de 60 cm, concreto para fundo, esp.10 cm, e tubo para ligação ao filtro.</t>
  </si>
  <si>
    <t>Encanador</t>
  </si>
  <si>
    <t>010118</t>
  </si>
  <si>
    <t>Servente</t>
  </si>
  <si>
    <t>010146</t>
  </si>
  <si>
    <t>Adesivo para tubo de PVC rígido (LABOR)</t>
  </si>
  <si>
    <t>069513</t>
  </si>
  <si>
    <t>Areia lavada média (LABOR)</t>
  </si>
  <si>
    <t>020503</t>
  </si>
  <si>
    <t>Brita 1 (LABOR)</t>
  </si>
  <si>
    <t>020517</t>
  </si>
  <si>
    <t>Brita 2 (LABOR)</t>
  </si>
  <si>
    <t>020518</t>
  </si>
  <si>
    <t>Cimento portland CP III-40 (LABOR)</t>
  </si>
  <si>
    <t>020508</t>
  </si>
  <si>
    <t>Fossa anéis concr. D=1,20 m, h = 2,00 m, com visita 60 cm (LABOR)</t>
  </si>
  <si>
    <t>069606</t>
  </si>
  <si>
    <t>Sika 1 (LABOR)</t>
  </si>
  <si>
    <t>024015</t>
  </si>
  <si>
    <t>Solução limpadora para PVC rígido (LABOR)</t>
  </si>
  <si>
    <t>069514</t>
  </si>
  <si>
    <t>Tudo de PVC para esgoto de 100 mm (4") (LABOR)</t>
  </si>
  <si>
    <t>062533</t>
  </si>
  <si>
    <t>Betoneira 320 L (E301) (LABOR)</t>
  </si>
  <si>
    <t>080125</t>
  </si>
  <si>
    <t>Insumo</t>
  </si>
  <si>
    <t xml:space="preserve">Adesivo para tubo de PVC rígido </t>
  </si>
  <si>
    <t>Areia lavada média</t>
  </si>
  <si>
    <t>Brita 1</t>
  </si>
  <si>
    <t>Brita 2</t>
  </si>
  <si>
    <t>Brita 3</t>
  </si>
  <si>
    <t>020519</t>
  </si>
  <si>
    <t>Cimento Portland CP III - 40</t>
  </si>
  <si>
    <t>Curva 90° longa PVC esgoto 100 mm</t>
  </si>
  <si>
    <t>062430</t>
  </si>
  <si>
    <t>Filtro anaeróbio anéis concr. diam.1.20m, h=2.00m</t>
  </si>
  <si>
    <t>069525</t>
  </si>
  <si>
    <t>Sika 1</t>
  </si>
  <si>
    <t>Solução limpadora para PVC rígido</t>
  </si>
  <si>
    <t>Te 90° PVC rígido p/ esgoto de 100mm (4")</t>
  </si>
  <si>
    <t>062547</t>
  </si>
  <si>
    <t>Tubo de PVC para esgoto de 100mm (4")</t>
  </si>
  <si>
    <t>Betoneira 320 L (E301)</t>
  </si>
  <si>
    <t>Sumidouro de anéis pré-moldados de concreto, diâmetro 1,20 m, altura útil de 1,10 m, completo, incluindo tampa com visita de 60 cm, brita para fundo, esp.10 cm.</t>
  </si>
  <si>
    <t>COMPOSIÇÃO 14</t>
  </si>
  <si>
    <t>COMPOSIÇÃO 15</t>
  </si>
  <si>
    <t>COMPOSIÇÃO 16</t>
  </si>
  <si>
    <t>Fossa, Filtro e Sumidouro</t>
  </si>
  <si>
    <t>Reaterro de valas, exclusive compactação</t>
  </si>
  <si>
    <t>030211</t>
  </si>
  <si>
    <t>Caixa d'água</t>
  </si>
  <si>
    <t>Fossa séptica</t>
  </si>
  <si>
    <t>Filtro anaeróbio</t>
  </si>
  <si>
    <t>Sumidouro</t>
  </si>
  <si>
    <t>Caixa de gordura de alv. bloco concreto 9x19x39cm, dim.60x60cm e Hmáx=1m, com tampa em concreto esp.5cm, lastro
concreto esp.10cm, revestida intern. c/ chapisco e reboco impermeab, escavação, reaterro e parede interna em concreto</t>
  </si>
  <si>
    <t>Caixa de inspeção em alv. bloco concreto 9x19x39cm, dim. 60x60cm e Hmáx=1m, c/ tampa de ferro fundido 40x40cm,
lastro de concreto esp.10cm, revest. interno c/ chapisco e reboco impermeabiliz, incl. escavação, reaterro e enchimento</t>
  </si>
  <si>
    <t>3.0</t>
  </si>
  <si>
    <t>3.1</t>
  </si>
  <si>
    <t>3.2</t>
  </si>
  <si>
    <t>3.3</t>
  </si>
  <si>
    <t>3.4</t>
  </si>
  <si>
    <t>3.5</t>
  </si>
  <si>
    <t>3.6</t>
  </si>
  <si>
    <t>4.0</t>
  </si>
  <si>
    <t>4.1</t>
  </si>
  <si>
    <t>4.2</t>
  </si>
  <si>
    <t>4.3</t>
  </si>
  <si>
    <t>4.4</t>
  </si>
  <si>
    <t>5.0</t>
  </si>
  <si>
    <t>5.1</t>
  </si>
  <si>
    <t>5.2</t>
  </si>
  <si>
    <t>5.3</t>
  </si>
  <si>
    <t>5.4</t>
  </si>
  <si>
    <t>6.0</t>
  </si>
  <si>
    <t>6.1</t>
  </si>
  <si>
    <t>7.0</t>
  </si>
  <si>
    <t>7.1</t>
  </si>
  <si>
    <t>8.0</t>
  </si>
  <si>
    <t>7.2</t>
  </si>
  <si>
    <t>7.3</t>
  </si>
  <si>
    <t>7.4</t>
  </si>
  <si>
    <t>7.5</t>
  </si>
  <si>
    <t>7.6</t>
  </si>
  <si>
    <t>8.1</t>
  </si>
  <si>
    <t>8.2</t>
  </si>
  <si>
    <t>8.3</t>
  </si>
  <si>
    <t>8.4</t>
  </si>
  <si>
    <t>9.0</t>
  </si>
  <si>
    <t>9.1</t>
  </si>
  <si>
    <t>9.1.1</t>
  </si>
  <si>
    <t>9.1.2</t>
  </si>
  <si>
    <t>9.1.3</t>
  </si>
  <si>
    <t>9.1.4</t>
  </si>
  <si>
    <t>9.1.5</t>
  </si>
  <si>
    <t>9.1.6</t>
  </si>
  <si>
    <t>9.1.7</t>
  </si>
  <si>
    <t>9.1.8</t>
  </si>
  <si>
    <t>9.1.9</t>
  </si>
  <si>
    <t>9.1.10</t>
  </si>
  <si>
    <t>9.1.11</t>
  </si>
  <si>
    <t>9.2</t>
  </si>
  <si>
    <t>9.2.2</t>
  </si>
  <si>
    <t>9.2.1</t>
  </si>
  <si>
    <t>9.2.3</t>
  </si>
  <si>
    <t>9.2.4</t>
  </si>
  <si>
    <t>9.2.5</t>
  </si>
  <si>
    <t>9.2.6</t>
  </si>
  <si>
    <t>9.2.7</t>
  </si>
  <si>
    <t>9.2.8</t>
  </si>
  <si>
    <t>9.2.9</t>
  </si>
  <si>
    <t>9.2.10</t>
  </si>
  <si>
    <t>9.2.11</t>
  </si>
  <si>
    <t>9.3</t>
  </si>
  <si>
    <t>9.3.1</t>
  </si>
  <si>
    <t>9.3.2</t>
  </si>
  <si>
    <t>9.3.3</t>
  </si>
  <si>
    <t>9.3.4</t>
  </si>
  <si>
    <t>9.3.5</t>
  </si>
  <si>
    <t>10.0</t>
  </si>
  <si>
    <t>10.1</t>
  </si>
  <si>
    <t>10.1.1</t>
  </si>
  <si>
    <t>10.1.2</t>
  </si>
  <si>
    <t>10.1.3</t>
  </si>
  <si>
    <t>10.1.4</t>
  </si>
  <si>
    <t>10.1.5</t>
  </si>
  <si>
    <t>10.1.6</t>
  </si>
  <si>
    <t>10.1.7</t>
  </si>
  <si>
    <t>10.1.8</t>
  </si>
  <si>
    <t>10.1.9</t>
  </si>
  <si>
    <t>10.1.10</t>
  </si>
  <si>
    <t>10.1.11</t>
  </si>
  <si>
    <t>10.1.12</t>
  </si>
  <si>
    <t>10.2</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</si>
  <si>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</si>
  <si>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</si>
  <si>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</si>
  <si>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</si>
  <si>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</si>
  <si>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</si>
  <si>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</si>
  <si>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</si>
  <si>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</si>
  <si>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</si>
  <si>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</si>
  <si>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</si>
  <si>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</si>
  <si>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</si>
  <si>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</si>
  <si>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</si>
  <si>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</si>
  <si>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</si>
  <si>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</si>
  <si>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</si>
  <si>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</si>
  <si>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11.0</t>
  </si>
  <si>
    <t>11.1</t>
  </si>
  <si>
    <t>11.2</t>
  </si>
  <si>
    <t>11.3</t>
  </si>
  <si>
    <t>11.4</t>
  </si>
  <si>
    <t>SUB-TOTAL - 11</t>
  </si>
  <si>
    <t>12.0</t>
  </si>
  <si>
    <t>12.1</t>
  </si>
  <si>
    <t>12.2</t>
  </si>
  <si>
    <t>12.3</t>
  </si>
  <si>
    <t>12.4</t>
  </si>
  <si>
    <t>12.5</t>
  </si>
  <si>
    <t>12.6</t>
  </si>
  <si>
    <t>12.7</t>
  </si>
  <si>
    <t>Registro de gaveta com canopla cromada, diam. 20mm (3/4"), marcas de referência Fabrimar, Deca ou Docol</t>
  </si>
  <si>
    <t>09</t>
  </si>
  <si>
    <t>10</t>
  </si>
  <si>
    <t>11</t>
  </si>
  <si>
    <t>12</t>
  </si>
  <si>
    <r>
      <t>OBRA:</t>
    </r>
    <r>
      <rPr>
        <sz val="10"/>
        <rFont val="Arial"/>
        <family val="2"/>
      </rPr>
      <t xml:space="preserve"> Construção de um galpão para reciclagem e coleta seletiva</t>
    </r>
  </si>
  <si>
    <r>
      <t xml:space="preserve">OBRA: </t>
    </r>
    <r>
      <rPr>
        <sz val="10"/>
        <rFont val="Arial"/>
        <family val="2"/>
      </rPr>
      <t>Construção de um galpão para reciclagem e coleta seletiva</t>
    </r>
  </si>
  <si>
    <t>Alvenaria de blocos de concreto estrut. (14x19x39cm) cheios, c/ resist. mín. compr. 15MPa, assentados c/ arg. de cimento
e areia no traço 1:4, esp. juntas 10mm e esp. da parede s/ revest. 14cm</t>
  </si>
  <si>
    <t>Padrão de entrada d'água com caixa termoplástica para hidrômetro de 3/4" - padrão 1B da CESAN. Instalado embutido na alvenaria. Inclusive tubulação, conexões, registro, tubo camisa e caixa com tampa transparente. Conferir detalhe.</t>
  </si>
  <si>
    <t xml:space="preserve">Hidrômetro </t>
  </si>
  <si>
    <t>Caixas, tubos e conexões</t>
  </si>
  <si>
    <t>Janela do escritório  - 150x120 cm</t>
  </si>
  <si>
    <t>Janela da cozinha - 200x120 cm</t>
  </si>
  <si>
    <t>Suporte mão-francesa em aço, abas iguais, 40 cm, capacidade mínima 70 kg, branco</t>
  </si>
  <si>
    <t>00037591</t>
  </si>
  <si>
    <t>3.7</t>
  </si>
  <si>
    <t>Mão francesa em aço, com abas iguais, 40 cm de largura e capacidade mínima de 70 kg</t>
  </si>
  <si>
    <t>Prateleiras</t>
  </si>
  <si>
    <t>P10 ao P15 - 6x1Ø12,5 C=152</t>
  </si>
  <si>
    <t>Prefeitura Municipal de Itarana</t>
  </si>
  <si>
    <t>Canteiro de obras</t>
  </si>
  <si>
    <t>Área total, inclusive a calçada</t>
  </si>
  <si>
    <t>Área total, exclusive a calçada</t>
  </si>
  <si>
    <t>Teto do WC/Vest masculino</t>
  </si>
  <si>
    <t>Teto do WC/Vest feminino</t>
  </si>
  <si>
    <t>Tubo de PVC rígido soldável marrom, diâm. 20mm (1/2"), inclusive conexões</t>
  </si>
  <si>
    <t>Tubo de PVC rígido soldável branco, para esgoto, diâmetro 40mm (1 1/2"), inclusive conexões</t>
  </si>
  <si>
    <t>Tubo de PVC rígido soldável branco, para esgoto, diâmetro 50mm (2"), inclusive conexões</t>
  </si>
  <si>
    <t>Tubo de PVC rígido soldável branco, para esgoto, diâmetro 75mm (3"), inclusive conexões</t>
  </si>
  <si>
    <t>Tubo de PVC rígido soldável branco, para esgoto, diâmetro 100mm (4"), inclusive conexões</t>
  </si>
  <si>
    <t>9.1.12</t>
  </si>
  <si>
    <t>Registro de pressão com canopla cromada diam. 20mm (3/4"), marcas de referência Fabrimar, Deca ou Docol</t>
  </si>
  <si>
    <t>9.1.13</t>
  </si>
  <si>
    <t>Filtro anaeróbio de anéis pré-moldados de concreto, diâmetro de 1.50m, altura útil de 1.00m, completo, incl. tampa c/visita de 60 cm, concreto p/fundo esp.10cm e tubulação de saída para o sumidouro</t>
  </si>
  <si>
    <t>Limpeza geral da obra (edificação)</t>
  </si>
  <si>
    <t>12.8</t>
  </si>
  <si>
    <t>Área total da obra</t>
  </si>
  <si>
    <t>Vol. dos recipientes</t>
  </si>
  <si>
    <t>Vol. da escavação</t>
  </si>
  <si>
    <t>Ralo seco, PVC, DN 100x40 mm, junta soldável, fornecido e instalado em ramal de descarga ou em ramal de esgoto sanitário</t>
  </si>
  <si>
    <t>Caixa sifonada em PVC, diâm. 150mm, com grelha e porta grelha quadrados, em aço inox</t>
  </si>
  <si>
    <t>Coeficientes e serviços retirados da tabela de custos do Instituto de Obras Públicas do Espírito Santo - IOPES, item 140102 - Fossa séptica de anéis pré-moldados de concreto, diâmetro 1.20 m, altura útil de 1.70m, completa, incluindo tampa c/visita
de 60cm, concreto p/fundo esp.10 cm, e tubo para ligação ao filtro.</t>
  </si>
  <si>
    <t>Coeficientes e serviços retirados da tabela de custos do Instituto de Obras Públicas do Espírito Santo - IOPES, item 140103 - Filtro anaeróbio de anéis pré-moldados de concreto, diâmetro de 1.20m, altura útil de 1.80m, completo, incl. tampa c/visita
de 60 cm, concreto p/fundo esp.10cm e tubulação de saída de esgoto</t>
  </si>
  <si>
    <t>MÊS</t>
  </si>
  <si>
    <t>COTAÇÕES DE MATERIAIS</t>
  </si>
  <si>
    <t>COTAÇÃO 01</t>
  </si>
  <si>
    <t>Luminária LED Industrial HighBay 80W, inclusive lâmpada</t>
  </si>
  <si>
    <r>
      <t xml:space="preserve">ORÇAMENTISTAS: </t>
    </r>
    <r>
      <rPr>
        <sz val="10"/>
        <rFont val="Arial"/>
        <family val="2"/>
      </rPr>
      <t xml:space="preserve">Eng.º Civil IGOR ALVES FOLADOR DOMINICINI - CREA: ES-043213/D </t>
    </r>
  </si>
  <si>
    <t>COTAÇÃO 02</t>
  </si>
  <si>
    <t>COTAÇÃO 03</t>
  </si>
  <si>
    <t>Luminária LED sobrepor, 24W, quadrada, tipo plafon</t>
  </si>
  <si>
    <t>COTAÇÃO 04</t>
  </si>
  <si>
    <t>COTAÇÃO 05</t>
  </si>
  <si>
    <t>COMPOSIÇÕES DE CUSTO</t>
  </si>
  <si>
    <t>Luminária LED Industrial HighBay 80W, inclusive lâmpada - fornecimento e instalação</t>
  </si>
  <si>
    <t>Luminária LED sobrepor, 24W, quadrada, tipo plafon - fornecimento e instalação</t>
  </si>
  <si>
    <r>
      <t>OBRA:</t>
    </r>
    <r>
      <rPr>
        <sz val="11"/>
        <rFont val="Arial"/>
        <family val="2"/>
      </rPr>
      <t xml:space="preserve"> Construção de um galpão para reciclagem e coleta seletiva</t>
    </r>
  </si>
  <si>
    <r>
      <t xml:space="preserve">ORÇAMENTISTAS: </t>
    </r>
    <r>
      <rPr>
        <sz val="11"/>
        <rFont val="Arial"/>
        <family val="2"/>
      </rPr>
      <t xml:space="preserve">Eng.º Civil IGOR ALVES FOLADOR DOMINICINI - CREA: ES-043213/D </t>
    </r>
  </si>
  <si>
    <r>
      <t xml:space="preserve">LOCAL: </t>
    </r>
    <r>
      <rPr>
        <sz val="10"/>
        <rFont val="Arial"/>
        <family val="2"/>
      </rPr>
      <t>Estrada do Triunfo, km 1, Itarana, Espírito Santo</t>
    </r>
  </si>
  <si>
    <r>
      <t>LOCAL:</t>
    </r>
    <r>
      <rPr>
        <sz val="10"/>
        <rFont val="Arial"/>
        <family val="2"/>
      </rPr>
      <t xml:space="preserve"> Estrada do Triunfo, km 1, Itarana, Espírito Santo</t>
    </r>
  </si>
  <si>
    <r>
      <t xml:space="preserve">LOCAL: </t>
    </r>
    <r>
      <rPr>
        <sz val="11"/>
        <rFont val="Arial"/>
        <family val="2"/>
      </rPr>
      <t>Estrada do Triunfo, km 1, Itarana, Espírito Santo</t>
    </r>
  </si>
  <si>
    <t>P01 ao P09 e P16 ao P21 - 4xN1Ø12,5 C=245</t>
  </si>
  <si>
    <t>P01 ao P09 e P16 ao P21 - 10N2Ø6,3 c/ 15 C=90</t>
  </si>
  <si>
    <t>P10 ao P15 - 6xN1Ø12,5 C=245</t>
  </si>
  <si>
    <t>P10 ao P15 - 10N2Ø6,3 c/ 15 C=155</t>
  </si>
  <si>
    <t>P01 ao P09 e P16 ao P21 - 3Ø6,3 c/ 5 C=88</t>
  </si>
  <si>
    <t>P10 ao P15 - 3Ø6,3  c/ 6 C=153</t>
  </si>
  <si>
    <t>COMPOSIÇÃO 17</t>
  </si>
  <si>
    <t>Poste de concreto DT, para padrão de entrada, 200 kg, h = 9 m (NBR 8451)</t>
  </si>
  <si>
    <t>00005038</t>
  </si>
  <si>
    <t>Poste de concreto, duplo T, tipo D, 200 kg, h = 9 m (NBR 8451)</t>
  </si>
  <si>
    <t>10.2.22</t>
  </si>
  <si>
    <t>Os preços da mão de obra retirados da tabela de custos do Instituto de Obras Públicas do Espírito Santo - IOPES. O item dos materias foi retirado do Sistema Nacional de Pesquisa de Custos e Índices da Construção Civil - SINAPI.</t>
  </si>
  <si>
    <t>Itarana, 03 de dezembro de 2019</t>
  </si>
  <si>
    <t>Itarana, 03 de dezembro  de 2019.</t>
  </si>
  <si>
    <t>Itarana, 03 de dezembro de 2019.</t>
  </si>
  <si>
    <t>DETALHAMENTO DO BDI</t>
  </si>
  <si>
    <t>PROPONENTE:</t>
  </si>
  <si>
    <t>OBRA:</t>
  </si>
  <si>
    <t>1. Regime de Contribuição Previdenciária</t>
  </si>
  <si>
    <t>Com Desoneração</t>
  </si>
  <si>
    <t>2. Tipo de Intervenção</t>
  </si>
  <si>
    <t>Edificações</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</si>
  <si>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</si>
  <si>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</si>
  <si>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</si>
  <si>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</si>
  <si>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</si>
  <si>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</si>
  <si>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</si>
  <si>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</si>
  <si>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Percentual da base de cálculo para o ISS:</t>
  </si>
  <si>
    <t>Alíquota do ISS (sobre a base de cálculo):</t>
  </si>
  <si>
    <t>COFINS</t>
  </si>
  <si>
    <t>PIS</t>
  </si>
  <si>
    <t>INSS</t>
  </si>
  <si>
    <t>5 – Demonstrativo de cálculo do BDI</t>
  </si>
  <si>
    <r>
      <t xml:space="preserve">BDI=    </t>
    </r>
    <r>
      <rPr>
        <u/>
        <sz val="10"/>
        <rFont val="Arial"/>
        <family val="2"/>
      </rPr>
      <t>(1+(AC+S+R+G))(1+DF)(1+L))</t>
    </r>
    <r>
      <rPr>
        <sz val="10"/>
        <rFont val="Arial"/>
        <family val="2"/>
      </rPr>
      <t xml:space="preserve">  -1 =</t>
    </r>
  </si>
  <si>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</si>
  <si>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</si>
  <si>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</si>
  <si>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</si>
  <si>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Engenheiro</t>
  </si>
  <si>
    <t>Igor Alves Folador Dominicini</t>
  </si>
  <si>
    <t>CREA/CAU:</t>
  </si>
  <si>
    <t>ES-043213/D</t>
  </si>
  <si>
    <t>Responsável Tomador</t>
  </si>
  <si>
    <t>Nome</t>
  </si>
  <si>
    <t>Ademar Schneider</t>
  </si>
  <si>
    <t>Cargo</t>
  </si>
  <si>
    <t>Prefeito Municipal</t>
  </si>
  <si>
    <t>Construção de um galpão para reciclagem e coleta seletiva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</si>
</sst>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R$&quot;\ * #,##0.00_-;\-&quot;R$&quot;\ * #,##0.00_-;_-&quot;R$&quot;\ * &quot;-&quot;??_-;_-@_-"/>
    <numFmt numFmtId="43" formatCode="_-* #,##0.00_-;\-* #,##0.00_-;_-* &quot;-&quot;??_-;_-@_-"/>
    <numFmt numFmtId="164" formatCode="_(* #,##0.00_);_(* \(#,##0.00\);_(* &quot;-&quot;??_);_(@_)"/>
    <numFmt numFmtId="165" formatCode="[$-416]mmmm\-yy;@"/>
    <numFmt numFmtId="166" formatCode="_(* #,##0.00_);_(* \(#,##0.00\);_(* \-??_);_(@_)"/>
    <numFmt numFmtId="167" formatCode="_-&quot;€ &quot;* #,##0.00_-;&quot;-€ &quot;* #,##0.00_-;_-&quot;€ &quot;* \-??_-;_-@_-"/>
    <numFmt numFmtId="168" formatCode="_(&quot;R$ &quot;* #,##0.00_);_(&quot;R$ &quot;* \(#,##0.00\);_(&quot;R$ &quot;* &quot;-&quot;??_);_(@_)"/>
    <numFmt numFmtId="169" formatCode="&quot;R$&quot;\ #,##0.00"/>
    <numFmt numFmtId="170" formatCode="#,##0.00_ ;\-#,##0.00\ "/>
    <numFmt numFmtId="171" formatCode="0.000"/>
    <numFmt numFmtId="172" formatCode="0.0000"/>
    <numFmt numFmtId="173" formatCode="#,##0.000"/>
    <numFmt numFmtId="174" formatCode="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imes New Roman"/>
      <family val="1"/>
    </font>
    <font>
      <sz val="11"/>
      <color indexed="8"/>
      <name val="Calibri"/>
      <family val="2"/>
    </font>
    <font>
      <sz val="11"/>
      <color indexed="9"/>
      <name val="Calibri"/>
      <family val="2"/>
    </font>
    <font>
      <sz val="8"/>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b/>
      <sz val="10"/>
      <color rgb="FFFF0000"/>
      <name val="Arial"/>
      <family val="2"/>
    </font>
    <font>
      <b/>
      <sz val="10"/>
      <color indexed="8"/>
      <name val="Arial"/>
      <family val="2"/>
    </font>
    <font>
      <b/>
      <sz val="10"/>
      <color indexed="10"/>
      <name val="Arial"/>
      <family val="2"/>
    </font>
    <font>
      <sz val="10"/>
      <color indexed="10"/>
      <name val="Arial"/>
      <family val="2"/>
    </font>
    <font>
      <sz val="10"/>
      <color indexed="8"/>
      <name val="Arial"/>
      <family val="2"/>
    </font>
    <font>
      <b/>
      <sz val="9"/>
      <name val="Arial"/>
      <family val="2"/>
    </font>
    <font>
      <sz val="10"/>
      <name val="Arial"/>
      <family val="2"/>
    </font>
    <font>
      <b/>
      <sz val="10"/>
      <color theme="1"/>
      <name val="Arial"/>
      <family val="2"/>
    </font>
    <font>
      <sz val="10"/>
      <name val="Arial"/>
      <family val="2"/>
    </font>
    <font>
      <b/>
      <sz val="11"/>
      <color rgb="FFFF0000"/>
      <name val="Arial"/>
      <family val="2"/>
    </font>
    <font>
      <b/>
      <sz val="11"/>
      <name val="Arial"/>
      <family val="2"/>
    </font>
    <font>
      <sz val="9"/>
      <color theme="1"/>
      <name val="Arial"/>
      <family val="2"/>
    </font>
    <font>
      <sz val="10"/>
      <color rgb="FF0070C0"/>
      <name val="Arial"/>
      <family val="2"/>
    </font>
    <font>
      <b/>
      <sz val="9"/>
      <color rgb="FFFF0000"/>
      <name val="Arial"/>
      <family val="2"/>
    </font>
    <font>
      <sz val="10"/>
      <color rgb="FFFF0000"/>
      <name val="Arial"/>
      <family val="2"/>
    </font>
    <font>
      <sz val="8"/>
      <name val="Arial"/>
      <family val="2"/>
    </font>
    <font>
      <sz val="10"/>
      <name val="Cambria"/>
      <family val="1"/>
      <scheme val="major"/>
    </font>
    <font>
      <b/>
      <sz val="8"/>
      <name val="Arial"/>
      <family val="2"/>
    </font>
    <font>
      <sz val="11"/>
      <name val="Arial"/>
      <family val="2"/>
    </font>
    <font>
      <sz val="11"/>
      <color theme="1"/>
      <name val="Arial"/>
      <family val="2"/>
    </font>
    <font>
      <b/>
      <sz val="11"/>
      <color theme="1"/>
      <name val="Arial"/>
      <family val="2"/>
    </font>
    <font>
      <sz val="10"/>
      <name val="Arial"/>
    </font>
    <font>
      <b/>
      <sz val="12"/>
      <color indexed="8"/>
      <name val="Arial"/>
      <family val="2"/>
    </font>
    <font>
      <sz val="12"/>
      <color indexed="8"/>
      <name val="Arial"/>
      <family val="2"/>
    </font>
    <font>
      <sz val="8"/>
      <color indexed="8"/>
      <name val="Arial"/>
      <family val="2"/>
    </font>
    <font>
      <sz val="3"/>
      <name val="Arial"/>
      <family val="2"/>
    </font>
    <font>
      <b/>
      <sz val="3"/>
      <name val="Arial"/>
      <family val="2"/>
    </font>
    <font>
      <i/>
      <sz val="10"/>
      <name val="Arial"/>
      <family val="2"/>
    </font>
    <font>
      <u/>
      <sz val="10"/>
      <name val="Arial"/>
      <family val="2"/>
    </font>
    <font>
      <b/>
      <i/>
      <sz val="14"/>
      <name val="Arial"/>
      <family val="2"/>
    </font>
    <font>
      <sz val="10"/>
      <color indexed="8"/>
      <name val="Calibri"/>
      <family val="2"/>
    </font>
    <font>
      <sz val="9"/>
      <name val="Arial"/>
      <family val="2"/>
    </font>
    <font>
      <sz val="9"/>
      <color indexed="81"/>
      <name val="Segoe UI"/>
      <family val="2"/>
    </font>
    <font>
      <b/>
      <sz val="9"/>
      <color indexed="81"/>
      <name val="Tahoma"/>
      <charset val="1"/>
    </font>
    <font>
      <sz val="9"/>
      <color indexed="81"/>
      <name val="Tahoma"/>
      <charset val="1"/>
    </font>
    <font>
      <sz val="10"/>
      <color indexed="81"/>
      <name val="Tahoma"/>
    </font>
    <font>
      <sz val="10"/>
      <color indexed="81"/>
      <name val="Tahoma"/>
      <family val="2"/>
    </font>
    <font>
      <b/>
      <sz val="10"/>
      <color indexed="81"/>
      <name val="Tahoma"/>
    </font>
  </fonts>
  <fills count="3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2F2F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55"/>
        <bgColor indexed="64"/>
      </patternFill>
    </fill>
  </fills>
  <borders count="2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8">
    <xf numFmtId="0" fontId="0" fillId="0" borderId="0"/>
    <xf numFmtId="164" fontId="8" fillId="0" borderId="0" applyFont="0" applyFill="0" applyBorder="0" applyAlignment="0" applyProtection="0"/>
    <xf numFmtId="164" fontId="10" fillId="0" borderId="0" applyFont="0" applyFill="0" applyBorder="0" applyAlignment="0" applyProtection="0"/>
    <xf numFmtId="0" fontId="10" fillId="0" borderId="0"/>
    <xf numFmtId="0" fontId="11"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0" borderId="1" applyNumberFormat="0" applyFont="0" applyAlignment="0">
      <alignment horizontal="left" vertical="top" indent="1"/>
    </xf>
    <xf numFmtId="0" fontId="15" fillId="5" borderId="0" applyNumberFormat="0" applyBorder="0" applyAlignment="0" applyProtection="0"/>
    <xf numFmtId="0" fontId="16" fillId="22" borderId="12" applyNumberFormat="0" applyAlignment="0" applyProtection="0"/>
    <xf numFmtId="0" fontId="17" fillId="23" borderId="13" applyNumberFormat="0" applyAlignment="0" applyProtection="0"/>
    <xf numFmtId="166" fontId="10" fillId="0" borderId="0" applyFill="0" applyBorder="0" applyAlignment="0" applyProtection="0"/>
    <xf numFmtId="167" fontId="10" fillId="0" borderId="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9" borderId="12" applyNumberFormat="0" applyAlignment="0" applyProtection="0"/>
    <xf numFmtId="0" fontId="24" fillId="0" borderId="17" applyNumberFormat="0" applyFill="0" applyAlignment="0" applyProtection="0"/>
    <xf numFmtId="168" fontId="12" fillId="0" borderId="0" applyFont="0" applyFill="0" applyBorder="0" applyAlignment="0" applyProtection="0"/>
    <xf numFmtId="0" fontId="25" fillId="24" borderId="0" applyNumberFormat="0" applyBorder="0" applyAlignment="0" applyProtection="0"/>
    <xf numFmtId="0" fontId="12" fillId="0" borderId="0"/>
    <xf numFmtId="0" fontId="10" fillId="25" borderId="18" applyNumberFormat="0" applyFont="0" applyAlignment="0" applyProtection="0"/>
    <xf numFmtId="0" fontId="26" fillId="22" borderId="19" applyNumberFormat="0" applyAlignment="0" applyProtection="0"/>
    <xf numFmtId="9" fontId="10"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4" applyNumberFormat="0" applyFill="0" applyAlignment="0" applyProtection="0"/>
    <xf numFmtId="0" fontId="28" fillId="0" borderId="0" applyNumberFormat="0" applyFill="0" applyBorder="0" applyAlignment="0" applyProtection="0"/>
    <xf numFmtId="164" fontId="8" fillId="0" borderId="0" applyFont="0" applyFill="0" applyBorder="0" applyAlignment="0" applyProtection="0"/>
    <xf numFmtId="0" fontId="7" fillId="0" borderId="0"/>
    <xf numFmtId="164" fontId="8" fillId="0" borderId="0" applyFont="0" applyFill="0" applyBorder="0" applyAlignment="0" applyProtection="0"/>
    <xf numFmtId="164" fontId="8" fillId="0" borderId="0" applyFont="0" applyFill="0" applyBorder="0" applyAlignment="0" applyProtection="0"/>
    <xf numFmtId="0" fontId="6"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166" fontId="8" fillId="0" borderId="0" applyFill="0" applyBorder="0" applyAlignment="0" applyProtection="0"/>
    <xf numFmtId="167" fontId="8" fillId="0" borderId="0" applyFill="0" applyBorder="0" applyAlignment="0" applyProtection="0"/>
    <xf numFmtId="0" fontId="8" fillId="25" borderId="18" applyNumberFormat="0" applyFont="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0" borderId="0"/>
    <xf numFmtId="0" fontId="36" fillId="0" borderId="0"/>
    <xf numFmtId="164" fontId="8" fillId="0" borderId="0" applyFont="0" applyFill="0" applyBorder="0" applyAlignment="0" applyProtection="0"/>
    <xf numFmtId="164" fontId="8" fillId="0" borderId="0" applyFont="0" applyFill="0" applyBorder="0" applyAlignment="0" applyProtection="0"/>
    <xf numFmtId="0" fontId="5" fillId="0" borderId="0"/>
    <xf numFmtId="0" fontId="5" fillId="0" borderId="0"/>
    <xf numFmtId="0" fontId="4" fillId="0" borderId="0"/>
    <xf numFmtId="0" fontId="3" fillId="0" borderId="0"/>
    <xf numFmtId="44" fontId="38" fillId="0" borderId="0" applyFont="0" applyFill="0" applyBorder="0" applyAlignment="0" applyProtection="0"/>
    <xf numFmtId="0" fontId="2" fillId="0" borderId="0"/>
    <xf numFmtId="0" fontId="1" fillId="0" borderId="0"/>
    <xf numFmtId="0" fontId="51" fillId="0" borderId="0"/>
    <xf numFmtId="9" fontId="12" fillId="0" borderId="0" applyFont="0" applyFill="0" applyBorder="0" applyAlignment="0" applyProtection="0"/>
    <xf numFmtId="9" fontId="51" fillId="0" borderId="0" applyFont="0" applyFill="0" applyBorder="0" applyAlignment="0" applyProtection="0"/>
  </cellStyleXfs>
  <cellXfs count="734">
    <xf numFmtId="0" fontId="0" fillId="0" borderId="0" xfId="0"/>
    <xf numFmtId="4" fontId="29"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 fontId="0" fillId="0" borderId="0" xfId="0" applyNumberFormat="1" applyFill="1" applyAlignment="1">
      <alignment horizontal="center" vertical="center"/>
    </xf>
    <xf numFmtId="4" fontId="8" fillId="0" borderId="10" xfId="0" applyNumberFormat="1" applyFont="1" applyFill="1" applyBorder="1" applyAlignment="1">
      <alignment horizontal="center" vertical="center"/>
    </xf>
    <xf numFmtId="4" fontId="0" fillId="0" borderId="0" xfId="0" applyNumberFormat="1" applyFill="1" applyAlignment="1">
      <alignment horizontal="center" vertical="center" wrapText="1"/>
    </xf>
    <xf numFmtId="4" fontId="0" fillId="0" borderId="0" xfId="1" applyNumberFormat="1" applyFont="1" applyFill="1" applyAlignment="1">
      <alignment horizontal="center" vertical="center"/>
    </xf>
    <xf numFmtId="164" fontId="9" fillId="27" borderId="10" xfId="1" applyFont="1" applyFill="1" applyBorder="1" applyAlignment="1">
      <alignment horizontal="center" vertical="center"/>
    </xf>
    <xf numFmtId="4" fontId="29" fillId="26" borderId="0" xfId="0" applyNumberFormat="1" applyFont="1" applyFill="1" applyBorder="1" applyAlignment="1">
      <alignment horizontal="center" vertical="center"/>
    </xf>
    <xf numFmtId="0" fontId="9" fillId="26" borderId="0" xfId="0" applyFont="1" applyFill="1" applyBorder="1" applyAlignment="1">
      <alignment horizontal="center" vertical="center"/>
    </xf>
    <xf numFmtId="4" fontId="0" fillId="0" borderId="0" xfId="0" applyNumberFormat="1" applyFill="1" applyAlignment="1">
      <alignment horizontal="center" vertical="center"/>
    </xf>
    <xf numFmtId="4" fontId="8" fillId="0" borderId="0" xfId="0" applyNumberFormat="1" applyFont="1" applyFill="1" applyAlignment="1">
      <alignment horizontal="center" vertical="center"/>
    </xf>
    <xf numFmtId="4" fontId="0" fillId="0" borderId="0" xfId="0" applyNumberFormat="1" applyFill="1" applyAlignment="1">
      <alignment horizontal="center" vertical="center" wrapText="1"/>
    </xf>
    <xf numFmtId="3" fontId="31" fillId="3" borderId="10" xfId="1" applyNumberFormat="1" applyFont="1" applyFill="1" applyBorder="1" applyAlignment="1">
      <alignment horizontal="center" vertical="center"/>
    </xf>
    <xf numFmtId="170" fontId="31" fillId="0" borderId="21" xfId="1" applyNumberFormat="1" applyFont="1" applyBorder="1" applyAlignment="1">
      <alignment horizontal="right" vertical="center"/>
    </xf>
    <xf numFmtId="0" fontId="8" fillId="26" borderId="10" xfId="0" applyFont="1" applyFill="1" applyBorder="1" applyAlignment="1">
      <alignment horizontal="left" vertical="center" wrapText="1"/>
    </xf>
    <xf numFmtId="4" fontId="8" fillId="26" borderId="0" xfId="0" applyNumberFormat="1" applyFont="1" applyFill="1" applyAlignment="1">
      <alignment horizontal="center" vertical="center"/>
    </xf>
    <xf numFmtId="4" fontId="8" fillId="26" borderId="0" xfId="0" applyNumberFormat="1" applyFont="1" applyFill="1" applyBorder="1" applyAlignment="1">
      <alignment horizontal="center"/>
    </xf>
    <xf numFmtId="4" fontId="8" fillId="26" borderId="0" xfId="0" applyNumberFormat="1" applyFont="1" applyFill="1" applyBorder="1" applyAlignment="1">
      <alignment horizontal="center" vertical="center"/>
    </xf>
    <xf numFmtId="4" fontId="8" fillId="26" borderId="0" xfId="4" applyNumberFormat="1" applyFont="1" applyFill="1" applyBorder="1" applyAlignment="1">
      <alignment horizontal="center" vertical="center"/>
    </xf>
    <xf numFmtId="4" fontId="33" fillId="26" borderId="0" xfId="1" applyNumberFormat="1" applyFont="1" applyFill="1" applyBorder="1" applyAlignment="1">
      <alignment horizontal="center" vertical="top"/>
    </xf>
    <xf numFmtId="4" fontId="32" fillId="26" borderId="0" xfId="1" applyNumberFormat="1" applyFont="1" applyFill="1" applyBorder="1" applyAlignment="1">
      <alignment horizontal="center" vertical="top"/>
    </xf>
    <xf numFmtId="4" fontId="32" fillId="26" borderId="0" xfId="4" applyNumberFormat="1" applyFont="1" applyFill="1" applyBorder="1" applyAlignment="1">
      <alignment horizontal="center" vertical="center"/>
    </xf>
    <xf numFmtId="4" fontId="8" fillId="26" borderId="0" xfId="4" applyNumberFormat="1" applyFont="1" applyFill="1" applyBorder="1" applyAlignment="1">
      <alignment horizontal="center" vertical="top"/>
    </xf>
    <xf numFmtId="4" fontId="8" fillId="26" borderId="0" xfId="1" applyNumberFormat="1" applyFont="1" applyFill="1" applyBorder="1" applyAlignment="1">
      <alignment horizontal="center" vertical="top"/>
    </xf>
    <xf numFmtId="4" fontId="9" fillId="26" borderId="0" xfId="4" applyNumberFormat="1" applyFont="1" applyFill="1" applyBorder="1" applyAlignment="1">
      <alignment horizontal="center" vertical="top"/>
    </xf>
    <xf numFmtId="4" fontId="9" fillId="26" borderId="0" xfId="1" applyNumberFormat="1" applyFont="1" applyFill="1" applyBorder="1" applyAlignment="1">
      <alignment horizontal="center" vertical="top"/>
    </xf>
    <xf numFmtId="164" fontId="9" fillId="26" borderId="0" xfId="1" applyFont="1" applyFill="1" applyBorder="1" applyAlignment="1">
      <alignment horizontal="center" vertical="center"/>
    </xf>
    <xf numFmtId="44" fontId="9" fillId="26" borderId="0" xfId="82" applyFont="1" applyFill="1" applyBorder="1" applyAlignment="1">
      <alignment horizontal="center" vertical="center"/>
    </xf>
    <xf numFmtId="44" fontId="9" fillId="27" borderId="10" xfId="82" applyFont="1" applyFill="1" applyBorder="1" applyAlignment="1">
      <alignment horizontal="center" vertical="center"/>
    </xf>
    <xf numFmtId="44" fontId="0" fillId="0" borderId="0" xfId="82" applyFont="1" applyFill="1" applyAlignment="1">
      <alignment horizontal="center" vertical="center"/>
    </xf>
    <xf numFmtId="44" fontId="0" fillId="0" borderId="10" xfId="82" applyFont="1" applyFill="1" applyBorder="1" applyAlignment="1">
      <alignment horizontal="right" vertical="center" indent="1"/>
    </xf>
    <xf numFmtId="4" fontId="41" fillId="26" borderId="0" xfId="0" applyNumberFormat="1" applyFont="1" applyFill="1" applyBorder="1" applyAlignment="1">
      <alignment horizontal="center" vertical="center"/>
    </xf>
    <xf numFmtId="165" fontId="8" fillId="26" borderId="0" xfId="1" applyNumberFormat="1" applyFont="1" applyFill="1" applyBorder="1" applyAlignment="1">
      <alignment horizontal="left" vertical="center"/>
    </xf>
    <xf numFmtId="0" fontId="0" fillId="0" borderId="10" xfId="0" applyBorder="1" applyAlignment="1">
      <alignment horizontal="center" vertical="center"/>
    </xf>
    <xf numFmtId="4" fontId="8" fillId="26" borderId="10" xfId="0" applyNumberFormat="1" applyFont="1" applyFill="1" applyBorder="1" applyAlignment="1">
      <alignment horizontal="center" vertical="center"/>
    </xf>
    <xf numFmtId="44" fontId="0" fillId="0" borderId="10" xfId="82" applyFont="1" applyBorder="1" applyAlignment="1">
      <alignment horizontal="right" vertical="center"/>
    </xf>
    <xf numFmtId="44" fontId="0" fillId="0" borderId="10" xfId="82" applyFont="1" applyBorder="1" applyAlignment="1">
      <alignment vertical="center"/>
    </xf>
    <xf numFmtId="44" fontId="8" fillId="26" borderId="10" xfId="82" applyFont="1" applyFill="1" applyBorder="1" applyAlignment="1">
      <alignment horizontal="center" vertical="center"/>
    </xf>
    <xf numFmtId="0" fontId="8" fillId="0" borderId="10" xfId="0" applyFont="1" applyBorder="1" applyAlignment="1">
      <alignment wrapText="1"/>
    </xf>
    <xf numFmtId="2" fontId="8" fillId="26" borderId="0" xfId="4" applyNumberFormat="1" applyFont="1" applyFill="1" applyBorder="1" applyAlignment="1">
      <alignment horizontal="center" vertical="center" wrapText="1"/>
    </xf>
    <xf numFmtId="4" fontId="8" fillId="26" borderId="0" xfId="1" applyNumberFormat="1" applyFont="1" applyFill="1" applyBorder="1" applyAlignment="1">
      <alignment horizontal="center" vertical="center"/>
    </xf>
    <xf numFmtId="4" fontId="8" fillId="0" borderId="0" xfId="63" applyNumberFormat="1" applyAlignment="1">
      <alignment horizontal="center" vertical="center"/>
    </xf>
    <xf numFmtId="4" fontId="8" fillId="26" borderId="0" xfId="63" applyNumberFormat="1" applyFont="1" applyFill="1" applyBorder="1" applyAlignment="1">
      <alignment vertical="center"/>
    </xf>
    <xf numFmtId="4" fontId="8" fillId="0" borderId="5" xfId="63" applyNumberFormat="1" applyFont="1" applyBorder="1" applyAlignment="1">
      <alignment horizontal="center" vertical="center"/>
    </xf>
    <xf numFmtId="4" fontId="8" fillId="26" borderId="5" xfId="63" applyNumberFormat="1" applyFont="1" applyFill="1" applyBorder="1" applyAlignment="1">
      <alignment horizontal="left" vertical="center"/>
    </xf>
    <xf numFmtId="4" fontId="9" fillId="26" borderId="5" xfId="63" applyNumberFormat="1" applyFont="1" applyFill="1" applyBorder="1" applyAlignment="1">
      <alignment horizontal="left" vertical="center"/>
    </xf>
    <xf numFmtId="4" fontId="8" fillId="0" borderId="0" xfId="63" applyNumberFormat="1" applyFont="1" applyBorder="1" applyAlignment="1">
      <alignment horizontal="center" vertical="center"/>
    </xf>
    <xf numFmtId="4" fontId="8" fillId="26" borderId="0" xfId="63" applyNumberFormat="1" applyFill="1" applyBorder="1" applyAlignment="1">
      <alignment horizontal="center" vertical="center"/>
    </xf>
    <xf numFmtId="4" fontId="8" fillId="26" borderId="0" xfId="63" applyNumberFormat="1" applyFont="1" applyFill="1" applyBorder="1" applyAlignment="1">
      <alignment horizontal="center" vertical="center"/>
    </xf>
    <xf numFmtId="4" fontId="8" fillId="0" borderId="0" xfId="63" applyNumberFormat="1" applyFont="1" applyAlignment="1">
      <alignment horizontal="center" vertical="center"/>
    </xf>
    <xf numFmtId="4" fontId="8" fillId="2" borderId="0" xfId="63" applyNumberFormat="1" applyFont="1" applyFill="1" applyBorder="1" applyAlignment="1">
      <alignment horizontal="center" vertical="center"/>
    </xf>
    <xf numFmtId="165" fontId="8" fillId="2" borderId="0" xfId="63" applyNumberFormat="1" applyFont="1" applyFill="1" applyBorder="1" applyAlignment="1">
      <alignment horizontal="center" vertical="center"/>
    </xf>
    <xf numFmtId="4" fontId="9" fillId="2" borderId="0" xfId="63" applyNumberFormat="1" applyFont="1" applyFill="1" applyBorder="1" applyAlignment="1">
      <alignment horizontal="center" vertical="center"/>
    </xf>
    <xf numFmtId="0" fontId="8" fillId="2" borderId="0" xfId="63" applyFont="1" applyFill="1" applyBorder="1" applyAlignment="1">
      <alignment horizontal="center" vertical="center"/>
    </xf>
    <xf numFmtId="0" fontId="8" fillId="2" borderId="5" xfId="63" applyFont="1" applyFill="1" applyBorder="1" applyAlignment="1">
      <alignment horizontal="center" vertical="center"/>
    </xf>
    <xf numFmtId="0" fontId="34" fillId="29" borderId="20" xfId="63" applyFont="1" applyFill="1" applyBorder="1" applyAlignment="1">
      <alignment horizontal="center" vertical="center"/>
    </xf>
    <xf numFmtId="10" fontId="31" fillId="29" borderId="20" xfId="63" applyNumberFormat="1" applyFont="1" applyFill="1" applyBorder="1" applyAlignment="1">
      <alignment horizontal="right" vertical="center"/>
    </xf>
    <xf numFmtId="0" fontId="34" fillId="0" borderId="21" xfId="63" applyFont="1" applyBorder="1" applyAlignment="1">
      <alignment horizontal="center" vertical="center"/>
    </xf>
    <xf numFmtId="0" fontId="8" fillId="0" borderId="0" xfId="63"/>
    <xf numFmtId="0" fontId="40" fillId="30" borderId="10" xfId="63" applyFont="1" applyFill="1" applyBorder="1" applyAlignment="1">
      <alignment horizontal="center" vertical="center"/>
    </xf>
    <xf numFmtId="4" fontId="8" fillId="0" borderId="0" xfId="63" applyNumberFormat="1" applyBorder="1" applyAlignment="1">
      <alignment horizontal="center" vertical="center"/>
    </xf>
    <xf numFmtId="4" fontId="9" fillId="26" borderId="3" xfId="63" applyNumberFormat="1" applyFont="1" applyFill="1" applyBorder="1" applyAlignment="1">
      <alignment vertical="center"/>
    </xf>
    <xf numFmtId="4" fontId="9" fillId="26" borderId="3" xfId="63" applyNumberFormat="1" applyFont="1" applyFill="1" applyBorder="1" applyAlignment="1">
      <alignment horizontal="left" vertical="center"/>
    </xf>
    <xf numFmtId="4" fontId="9" fillId="26" borderId="24" xfId="63" applyNumberFormat="1" applyFont="1" applyFill="1" applyBorder="1" applyAlignment="1">
      <alignment horizontal="left" vertical="center"/>
    </xf>
    <xf numFmtId="4" fontId="8" fillId="26" borderId="2" xfId="63" applyNumberFormat="1" applyFill="1" applyBorder="1" applyAlignment="1">
      <alignment horizontal="center" vertical="center"/>
    </xf>
    <xf numFmtId="4" fontId="8" fillId="26" borderId="3" xfId="63" applyNumberFormat="1" applyFill="1" applyBorder="1" applyAlignment="1">
      <alignment horizontal="center" vertical="center"/>
    </xf>
    <xf numFmtId="4" fontId="8" fillId="0" borderId="2" xfId="63" applyNumberFormat="1" applyBorder="1" applyAlignment="1">
      <alignment horizontal="center" vertical="center"/>
    </xf>
    <xf numFmtId="4" fontId="8" fillId="0" borderId="3" xfId="63" applyNumberFormat="1" applyBorder="1" applyAlignment="1">
      <alignment horizontal="center" vertical="center"/>
    </xf>
    <xf numFmtId="4" fontId="8" fillId="0" borderId="4" xfId="63" applyNumberFormat="1" applyBorder="1" applyAlignment="1">
      <alignment horizontal="center" vertical="center"/>
    </xf>
    <xf numFmtId="4" fontId="8" fillId="0" borderId="5" xfId="63" applyNumberFormat="1" applyBorder="1" applyAlignment="1">
      <alignment horizontal="center" vertical="center"/>
    </xf>
    <xf numFmtId="4" fontId="8" fillId="0" borderId="24" xfId="63" applyNumberFormat="1" applyBorder="1" applyAlignment="1">
      <alignment horizontal="center" vertical="center"/>
    </xf>
    <xf numFmtId="44" fontId="0" fillId="28" borderId="10" xfId="82" applyFont="1" applyFill="1" applyBorder="1" applyAlignment="1">
      <alignment horizontal="right" vertical="center" indent="1"/>
    </xf>
    <xf numFmtId="44" fontId="9" fillId="28" borderId="10" xfId="82"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wrapText="1"/>
    </xf>
    <xf numFmtId="44" fontId="8" fillId="0" borderId="0" xfId="82" applyFont="1" applyFill="1" applyBorder="1" applyAlignment="1">
      <alignment horizontal="center" vertical="center"/>
    </xf>
    <xf numFmtId="4" fontId="8" fillId="0" borderId="0" xfId="0" applyNumberFormat="1" applyFont="1" applyFill="1" applyBorder="1" applyAlignment="1">
      <alignment horizontal="center" vertical="center"/>
    </xf>
    <xf numFmtId="44" fontId="8" fillId="0" borderId="0" xfId="82" applyFont="1" applyBorder="1" applyAlignment="1">
      <alignment horizontal="center" vertical="center"/>
    </xf>
    <xf numFmtId="0" fontId="9" fillId="0" borderId="0" xfId="0" applyFont="1" applyFill="1" applyBorder="1" applyAlignment="1">
      <alignment horizontal="center" vertical="center"/>
    </xf>
    <xf numFmtId="0" fontId="9" fillId="26" borderId="0" xfId="0" applyFont="1" applyFill="1" applyBorder="1" applyAlignment="1">
      <alignment horizontal="left" vertical="center" wrapText="1"/>
    </xf>
    <xf numFmtId="4" fontId="9" fillId="0" borderId="0" xfId="0" applyNumberFormat="1" applyFont="1" applyFill="1" applyBorder="1" applyAlignment="1">
      <alignment horizontal="center" vertical="center"/>
    </xf>
    <xf numFmtId="44" fontId="9" fillId="0" borderId="0" xfId="82" applyFont="1" applyFill="1" applyBorder="1" applyAlignment="1">
      <alignment horizontal="center" vertical="center"/>
    </xf>
    <xf numFmtId="44" fontId="9" fillId="0" borderId="0" xfId="82" applyFont="1" applyFill="1" applyBorder="1" applyAlignment="1">
      <alignment horizontal="right" vertical="center" indent="1"/>
    </xf>
    <xf numFmtId="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wrapText="1"/>
    </xf>
    <xf numFmtId="44" fontId="0" fillId="0" borderId="0" xfId="82" applyFont="1" applyFill="1" applyBorder="1" applyAlignment="1">
      <alignment horizontal="center" vertical="center"/>
    </xf>
    <xf numFmtId="4" fontId="0" fillId="0" borderId="0" xfId="1" applyNumberFormat="1" applyFont="1" applyFill="1" applyBorder="1" applyAlignment="1">
      <alignment horizontal="center" vertical="center"/>
    </xf>
    <xf numFmtId="44" fontId="8" fillId="0" borderId="10" xfId="82" applyFont="1" applyBorder="1" applyAlignment="1">
      <alignment horizontal="right" vertical="center"/>
    </xf>
    <xf numFmtId="0" fontId="8" fillId="0" borderId="10" xfId="0" applyFont="1" applyFill="1" applyBorder="1" applyAlignment="1">
      <alignment wrapText="1"/>
    </xf>
    <xf numFmtId="49" fontId="8" fillId="26" borderId="10" xfId="0" applyNumberFormat="1" applyFont="1" applyFill="1" applyBorder="1" applyAlignment="1">
      <alignment horizontal="center" vertical="center"/>
    </xf>
    <xf numFmtId="44" fontId="8" fillId="0" borderId="10" xfId="82" applyFont="1" applyFill="1" applyBorder="1" applyAlignment="1">
      <alignment horizontal="center" vertical="center"/>
    </xf>
    <xf numFmtId="0" fontId="8" fillId="0" borderId="10" xfId="0" applyFont="1" applyBorder="1" applyAlignment="1">
      <alignment horizontal="center" vertical="center"/>
    </xf>
    <xf numFmtId="44" fontId="8" fillId="0" borderId="10" xfId="82" applyFont="1" applyBorder="1" applyAlignment="1">
      <alignment vertical="center"/>
    </xf>
    <xf numFmtId="0" fontId="8" fillId="0" borderId="10" xfId="0" applyFont="1" applyBorder="1"/>
    <xf numFmtId="0" fontId="9" fillId="26" borderId="0" xfId="4" applyFont="1" applyFill="1" applyBorder="1" applyAlignment="1">
      <alignment horizontal="left" vertical="top" wrapText="1"/>
    </xf>
    <xf numFmtId="0" fontId="8" fillId="0" borderId="10" xfId="0" applyFont="1" applyBorder="1" applyAlignment="1">
      <alignment vertical="center"/>
    </xf>
    <xf numFmtId="0" fontId="8" fillId="0" borderId="10" xfId="0" applyFont="1" applyBorder="1" applyAlignment="1">
      <alignment vertical="center" wrapText="1"/>
    </xf>
    <xf numFmtId="44" fontId="9" fillId="0" borderId="10" xfId="63" applyNumberFormat="1" applyFont="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4" fontId="9" fillId="0" borderId="10" xfId="0" applyNumberFormat="1" applyFont="1" applyFill="1" applyBorder="1" applyAlignment="1">
      <alignment horizontal="center" vertical="center"/>
    </xf>
    <xf numFmtId="44" fontId="0" fillId="0" borderId="10" xfId="82" applyFont="1" applyFill="1" applyBorder="1" applyAlignment="1">
      <alignment horizontal="center" vertical="center"/>
    </xf>
    <xf numFmtId="44" fontId="9" fillId="0" borderId="10" xfId="82" applyFont="1" applyFill="1" applyBorder="1" applyAlignment="1">
      <alignment horizontal="right" vertical="center" indent="1"/>
    </xf>
    <xf numFmtId="4" fontId="8" fillId="26" borderId="3" xfId="0" applyNumberFormat="1" applyFont="1" applyFill="1" applyBorder="1" applyAlignment="1">
      <alignment horizontal="center"/>
    </xf>
    <xf numFmtId="0" fontId="32" fillId="26" borderId="2" xfId="4" applyFont="1" applyFill="1" applyBorder="1" applyAlignment="1">
      <alignment vertical="top" wrapText="1"/>
    </xf>
    <xf numFmtId="4" fontId="32" fillId="26" borderId="0" xfId="1" applyNumberFormat="1" applyFont="1" applyFill="1" applyBorder="1" applyAlignment="1">
      <alignment horizontal="center" vertical="top" wrapText="1"/>
    </xf>
    <xf numFmtId="4" fontId="32" fillId="26" borderId="3" xfId="1" applyNumberFormat="1" applyFont="1" applyFill="1" applyBorder="1" applyAlignment="1">
      <alignment horizontal="center" vertical="top"/>
    </xf>
    <xf numFmtId="4" fontId="9" fillId="26" borderId="3" xfId="4" applyNumberFormat="1" applyFont="1" applyFill="1" applyBorder="1" applyAlignment="1">
      <alignment horizontal="center" vertical="top"/>
    </xf>
    <xf numFmtId="3" fontId="9" fillId="26" borderId="2" xfId="4" applyNumberFormat="1" applyFont="1" applyFill="1" applyBorder="1" applyAlignment="1">
      <alignment horizontal="right" vertical="top"/>
    </xf>
    <xf numFmtId="4" fontId="8" fillId="26" borderId="3" xfId="4" applyNumberFormat="1" applyFont="1" applyFill="1" applyBorder="1" applyAlignment="1">
      <alignment horizontal="center" vertical="top"/>
    </xf>
    <xf numFmtId="0" fontId="8" fillId="26" borderId="2" xfId="4" applyFont="1" applyFill="1" applyBorder="1" applyAlignment="1">
      <alignment vertical="top" wrapText="1"/>
    </xf>
    <xf numFmtId="4" fontId="8" fillId="26" borderId="0" xfId="1" applyNumberFormat="1" applyFont="1" applyFill="1" applyBorder="1" applyAlignment="1">
      <alignment horizontal="center" vertical="top" wrapText="1"/>
    </xf>
    <xf numFmtId="4" fontId="8" fillId="26" borderId="3" xfId="1" applyNumberFormat="1" applyFont="1" applyFill="1" applyBorder="1" applyAlignment="1">
      <alignment horizontal="center" vertical="top"/>
    </xf>
    <xf numFmtId="0" fontId="9" fillId="26" borderId="7" xfId="4" applyFont="1" applyFill="1" applyBorder="1" applyAlignment="1">
      <alignment vertical="top" wrapText="1"/>
    </xf>
    <xf numFmtId="4" fontId="8" fillId="26" borderId="8" xfId="4" applyNumberFormat="1" applyFont="1" applyFill="1" applyBorder="1" applyAlignment="1">
      <alignment horizontal="center" vertical="top"/>
    </xf>
    <xf numFmtId="4" fontId="9" fillId="26" borderId="8" xfId="4" applyNumberFormat="1" applyFont="1" applyFill="1" applyBorder="1" applyAlignment="1">
      <alignment horizontal="center" vertical="top"/>
    </xf>
    <xf numFmtId="4" fontId="9" fillId="26" borderId="11" xfId="1" applyNumberFormat="1" applyFont="1" applyFill="1" applyBorder="1" applyAlignment="1">
      <alignment horizontal="center" vertical="top"/>
    </xf>
    <xf numFmtId="4" fontId="9" fillId="26" borderId="11" xfId="4" applyNumberFormat="1" applyFont="1" applyFill="1" applyBorder="1" applyAlignment="1">
      <alignment horizontal="center" vertical="top"/>
    </xf>
    <xf numFmtId="0" fontId="9" fillId="26" borderId="2" xfId="4" applyFont="1" applyFill="1" applyBorder="1" applyAlignment="1">
      <alignment vertical="top" wrapText="1"/>
    </xf>
    <xf numFmtId="4" fontId="9" fillId="26" borderId="3" xfId="1" applyNumberFormat="1" applyFont="1" applyFill="1" applyBorder="1" applyAlignment="1">
      <alignment horizontal="center" vertical="top"/>
    </xf>
    <xf numFmtId="0" fontId="8" fillId="26" borderId="2" xfId="4" applyFont="1" applyFill="1" applyBorder="1" applyAlignment="1">
      <alignment horizontal="left" vertical="top" wrapText="1"/>
    </xf>
    <xf numFmtId="2" fontId="8" fillId="26" borderId="3" xfId="4" applyNumberFormat="1" applyFont="1" applyFill="1" applyBorder="1" applyAlignment="1">
      <alignment horizontal="center" vertical="center" wrapText="1"/>
    </xf>
    <xf numFmtId="3" fontId="30" fillId="26" borderId="2" xfId="4" quotePrefix="1" applyNumberFormat="1" applyFont="1" applyFill="1" applyBorder="1" applyAlignment="1">
      <alignment horizontal="right" vertical="top"/>
    </xf>
    <xf numFmtId="0" fontId="30" fillId="26" borderId="2" xfId="4" applyFont="1" applyFill="1" applyBorder="1" applyAlignment="1">
      <alignment vertical="top" wrapText="1"/>
    </xf>
    <xf numFmtId="2" fontId="8" fillId="26" borderId="0" xfId="1" applyNumberFormat="1" applyFont="1" applyFill="1" applyBorder="1" applyAlignment="1">
      <alignment horizontal="center" vertical="top"/>
    </xf>
    <xf numFmtId="2" fontId="8" fillId="26" borderId="0" xfId="4" applyNumberFormat="1" applyFont="1" applyFill="1" applyBorder="1" applyAlignment="1">
      <alignment horizontal="center" vertical="top" wrapText="1"/>
    </xf>
    <xf numFmtId="3" fontId="32" fillId="26" borderId="2" xfId="4" quotePrefix="1" applyNumberFormat="1" applyFont="1" applyFill="1" applyBorder="1" applyAlignment="1">
      <alignment horizontal="right" vertical="top"/>
    </xf>
    <xf numFmtId="2" fontId="8" fillId="26" borderId="3" xfId="4" applyNumberFormat="1" applyFont="1" applyFill="1" applyBorder="1" applyAlignment="1">
      <alignment horizontal="center" wrapText="1"/>
    </xf>
    <xf numFmtId="4" fontId="9" fillId="26" borderId="0" xfId="1" applyNumberFormat="1" applyFont="1" applyFill="1" applyBorder="1" applyAlignment="1">
      <alignment horizontal="center" vertical="top" wrapText="1"/>
    </xf>
    <xf numFmtId="4" fontId="8" fillId="26" borderId="2" xfId="0" applyNumberFormat="1" applyFont="1" applyFill="1" applyBorder="1" applyAlignment="1">
      <alignment horizontal="center" vertical="center" wrapText="1"/>
    </xf>
    <xf numFmtId="4" fontId="9" fillId="26" borderId="0" xfId="4" applyNumberFormat="1" applyFont="1" applyFill="1" applyBorder="1" applyAlignment="1">
      <alignment horizontal="center" vertical="center"/>
    </xf>
    <xf numFmtId="4" fontId="42" fillId="26" borderId="0" xfId="4" applyNumberFormat="1" applyFont="1" applyFill="1" applyBorder="1" applyAlignment="1">
      <alignment horizontal="center" vertical="center"/>
    </xf>
    <xf numFmtId="4" fontId="42" fillId="31" borderId="0" xfId="4" applyNumberFormat="1" applyFont="1" applyFill="1" applyBorder="1" applyAlignment="1">
      <alignment horizontal="center" vertical="center"/>
    </xf>
    <xf numFmtId="0" fontId="9" fillId="26" borderId="3" xfId="4" applyFont="1" applyFill="1" applyBorder="1" applyAlignment="1">
      <alignment vertical="top" wrapText="1"/>
    </xf>
    <xf numFmtId="0" fontId="8" fillId="26" borderId="0" xfId="4" applyFont="1" applyFill="1" applyBorder="1" applyAlignment="1">
      <alignment horizontal="left" vertical="top" wrapText="1"/>
    </xf>
    <xf numFmtId="4" fontId="8" fillId="26" borderId="0" xfId="0" applyNumberFormat="1" applyFont="1" applyFill="1" applyBorder="1" applyAlignment="1">
      <alignment horizontal="center" vertical="center" wrapText="1"/>
    </xf>
    <xf numFmtId="170" fontId="31" fillId="0" borderId="22" xfId="1" applyNumberFormat="1" applyFont="1" applyBorder="1" applyAlignment="1">
      <alignment horizontal="right" vertical="center"/>
    </xf>
    <xf numFmtId="4" fontId="8" fillId="26" borderId="22" xfId="4" applyNumberFormat="1" applyFont="1" applyFill="1" applyBorder="1" applyAlignment="1">
      <alignment horizontal="center" vertical="top"/>
    </xf>
    <xf numFmtId="4" fontId="8" fillId="26" borderId="9" xfId="0" applyNumberFormat="1" applyFont="1" applyFill="1" applyBorder="1" applyAlignment="1">
      <alignment horizontal="center" vertical="center"/>
    </xf>
    <xf numFmtId="4" fontId="8" fillId="26" borderId="1" xfId="0" applyNumberFormat="1" applyFont="1" applyFill="1" applyBorder="1" applyAlignment="1">
      <alignment horizontal="center" vertical="center" wrapText="1"/>
    </xf>
    <xf numFmtId="4" fontId="8" fillId="26" borderId="23" xfId="0" applyNumberFormat="1" applyFont="1" applyFill="1" applyBorder="1" applyAlignment="1">
      <alignment horizontal="center" vertical="center"/>
    </xf>
    <xf numFmtId="4" fontId="8" fillId="26" borderId="3" xfId="0" applyNumberFormat="1" applyFont="1" applyFill="1" applyBorder="1" applyAlignment="1">
      <alignment horizontal="center" vertical="center"/>
    </xf>
    <xf numFmtId="0" fontId="8" fillId="26" borderId="0" xfId="4" applyFont="1" applyFill="1" applyBorder="1" applyAlignment="1">
      <alignment horizontal="center" vertical="center" wrapText="1"/>
    </xf>
    <xf numFmtId="4" fontId="8" fillId="26" borderId="3" xfId="1" applyNumberFormat="1" applyFont="1" applyFill="1" applyBorder="1" applyAlignment="1">
      <alignment horizontal="center" vertical="center"/>
    </xf>
    <xf numFmtId="4" fontId="9" fillId="26" borderId="11" xfId="1" applyNumberFormat="1" applyFont="1" applyFill="1" applyBorder="1" applyAlignment="1">
      <alignment horizontal="center" vertical="center"/>
    </xf>
    <xf numFmtId="0" fontId="8" fillId="28" borderId="10" xfId="0" applyFont="1" applyFill="1" applyBorder="1" applyAlignment="1">
      <alignment horizontal="center" vertical="center"/>
    </xf>
    <xf numFmtId="4" fontId="8" fillId="28"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4" fontId="8" fillId="28" borderId="10" xfId="82" applyFont="1" applyFill="1" applyBorder="1" applyAlignment="1">
      <alignment vertical="center"/>
    </xf>
    <xf numFmtId="0" fontId="9" fillId="28" borderId="10" xfId="0" applyFont="1" applyFill="1" applyBorder="1" applyAlignment="1">
      <alignment vertical="center"/>
    </xf>
    <xf numFmtId="3" fontId="9" fillId="26" borderId="0" xfId="4" applyNumberFormat="1" applyFont="1" applyFill="1" applyBorder="1" applyAlignment="1">
      <alignment horizontal="right" vertical="top"/>
    </xf>
    <xf numFmtId="4" fontId="8" fillId="26" borderId="8" xfId="0" applyNumberFormat="1" applyFont="1" applyFill="1" applyBorder="1" applyAlignment="1">
      <alignment horizontal="center" vertical="center"/>
    </xf>
    <xf numFmtId="4" fontId="9" fillId="26" borderId="7" xfId="0" applyNumberFormat="1" applyFont="1" applyFill="1" applyBorder="1" applyAlignment="1">
      <alignment horizontal="left" vertical="center" wrapText="1"/>
    </xf>
    <xf numFmtId="4" fontId="8" fillId="26" borderId="2" xfId="0" applyNumberFormat="1" applyFont="1" applyFill="1" applyBorder="1" applyAlignment="1">
      <alignment horizontal="left" vertical="center" wrapText="1"/>
    </xf>
    <xf numFmtId="4" fontId="30" fillId="26" borderId="2" xfId="0" applyNumberFormat="1" applyFont="1" applyFill="1" applyBorder="1" applyAlignment="1">
      <alignment horizontal="left" vertical="center" wrapText="1"/>
    </xf>
    <xf numFmtId="4" fontId="30" fillId="26" borderId="0" xfId="0" quotePrefix="1" applyNumberFormat="1" applyFont="1" applyFill="1" applyBorder="1" applyAlignment="1">
      <alignment horizontal="right" vertical="center"/>
    </xf>
    <xf numFmtId="4" fontId="9" fillId="26" borderId="8" xfId="0" applyNumberFormat="1" applyFont="1" applyFill="1" applyBorder="1" applyAlignment="1">
      <alignment horizontal="center" vertical="center"/>
    </xf>
    <xf numFmtId="4" fontId="9" fillId="26" borderId="11" xfId="0" applyNumberFormat="1" applyFont="1" applyFill="1" applyBorder="1" applyAlignment="1">
      <alignment horizontal="center" vertical="center"/>
    </xf>
    <xf numFmtId="4" fontId="8" fillId="26" borderId="2" xfId="0" applyNumberFormat="1" applyFont="1" applyFill="1" applyBorder="1" applyAlignment="1">
      <alignment horizontal="left" vertical="center" wrapText="1"/>
    </xf>
    <xf numFmtId="0" fontId="9" fillId="26" borderId="0" xfId="4" applyFont="1" applyFill="1" applyBorder="1" applyAlignment="1">
      <alignment horizontal="left" vertical="top" wrapText="1"/>
    </xf>
    <xf numFmtId="4" fontId="8" fillId="26" borderId="0" xfId="1" applyNumberFormat="1" applyFont="1" applyFill="1" applyBorder="1" applyAlignment="1">
      <alignment horizontal="center" vertical="center" wrapText="1"/>
    </xf>
    <xf numFmtId="4" fontId="8" fillId="26" borderId="3" xfId="4" applyNumberFormat="1" applyFont="1" applyFill="1" applyBorder="1" applyAlignment="1">
      <alignment horizontal="center" vertical="center" wrapText="1"/>
    </xf>
    <xf numFmtId="4" fontId="30" fillId="26" borderId="0" xfId="0" applyNumberFormat="1" applyFont="1" applyFill="1" applyBorder="1" applyAlignment="1">
      <alignment horizontal="center" vertical="center"/>
    </xf>
    <xf numFmtId="0" fontId="9" fillId="28" borderId="10" xfId="0" applyFont="1" applyFill="1" applyBorder="1" applyAlignment="1">
      <alignment horizontal="center" vertical="center"/>
    </xf>
    <xf numFmtId="0" fontId="9" fillId="28" borderId="10" xfId="0" applyFont="1" applyFill="1" applyBorder="1" applyAlignment="1">
      <alignment horizontal="left" vertical="center" wrapText="1"/>
    </xf>
    <xf numFmtId="4" fontId="9" fillId="28" borderId="10" xfId="0" applyNumberFormat="1" applyFont="1" applyFill="1" applyBorder="1" applyAlignment="1">
      <alignment horizontal="center" vertical="center"/>
    </xf>
    <xf numFmtId="44" fontId="0" fillId="28" borderId="10" xfId="82" applyFont="1" applyFill="1" applyBorder="1" applyAlignment="1">
      <alignment horizontal="center" vertical="center"/>
    </xf>
    <xf numFmtId="44" fontId="9" fillId="28" borderId="10" xfId="82" applyFont="1" applyFill="1" applyBorder="1" applyAlignment="1">
      <alignment horizontal="right" vertical="center" indent="1"/>
    </xf>
    <xf numFmtId="4" fontId="30" fillId="26" borderId="3" xfId="0" applyNumberFormat="1" applyFont="1" applyFill="1" applyBorder="1" applyAlignment="1">
      <alignment horizontal="center" vertical="center"/>
    </xf>
    <xf numFmtId="4" fontId="9" fillId="26" borderId="3" xfId="0" applyNumberFormat="1" applyFont="1" applyFill="1" applyBorder="1" applyAlignment="1">
      <alignment horizontal="center" vertical="center"/>
    </xf>
    <xf numFmtId="4" fontId="8" fillId="26" borderId="3" xfId="0" applyNumberFormat="1" applyFont="1" applyFill="1" applyBorder="1" applyAlignment="1">
      <alignment horizontal="center" vertical="center" wrapText="1"/>
    </xf>
    <xf numFmtId="4" fontId="9" fillId="26" borderId="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4" fontId="8" fillId="26" borderId="2" xfId="0" applyNumberFormat="1" applyFont="1" applyFill="1" applyBorder="1" applyAlignment="1">
      <alignment vertical="center" wrapText="1"/>
    </xf>
    <xf numFmtId="4" fontId="8" fillId="26" borderId="0" xfId="0" applyNumberFormat="1" applyFont="1" applyFill="1" applyBorder="1" applyAlignment="1">
      <alignment vertical="center" wrapText="1"/>
    </xf>
    <xf numFmtId="4" fontId="8" fillId="26" borderId="0" xfId="0" quotePrefix="1" applyNumberFormat="1" applyFont="1" applyFill="1" applyBorder="1" applyAlignment="1">
      <alignment horizontal="right" vertical="center"/>
    </xf>
    <xf numFmtId="4" fontId="9" fillId="26" borderId="0" xfId="0" applyNumberFormat="1" applyFont="1" applyFill="1" applyBorder="1" applyAlignment="1">
      <alignment vertical="center" wrapText="1"/>
    </xf>
    <xf numFmtId="4" fontId="9" fillId="26" borderId="3" xfId="0" applyNumberFormat="1" applyFont="1" applyFill="1" applyBorder="1" applyAlignment="1">
      <alignment vertical="center" wrapText="1"/>
    </xf>
    <xf numFmtId="4" fontId="9" fillId="26" borderId="2" xfId="0" applyNumberFormat="1" applyFont="1" applyFill="1" applyBorder="1" applyAlignment="1">
      <alignment horizontal="center" vertical="center"/>
    </xf>
    <xf numFmtId="4" fontId="9" fillId="26" borderId="10" xfId="0" applyNumberFormat="1" applyFont="1" applyFill="1" applyBorder="1" applyAlignment="1">
      <alignment horizontal="center" vertical="center"/>
    </xf>
    <xf numFmtId="4" fontId="8" fillId="26" borderId="2" xfId="0" applyNumberFormat="1" applyFont="1" applyFill="1" applyBorder="1" applyAlignment="1">
      <alignment horizontal="center" vertical="center"/>
    </xf>
    <xf numFmtId="4" fontId="9" fillId="26" borderId="22" xfId="0" applyNumberFormat="1" applyFont="1" applyFill="1" applyBorder="1" applyAlignment="1">
      <alignment horizontal="center" vertical="center"/>
    </xf>
    <xf numFmtId="3" fontId="8" fillId="26" borderId="2" xfId="4" applyNumberFormat="1" applyFont="1" applyFill="1" applyBorder="1" applyAlignment="1">
      <alignment horizontal="right" vertical="top"/>
    </xf>
    <xf numFmtId="4" fontId="9" fillId="26" borderId="0" xfId="0" applyNumberFormat="1" applyFont="1" applyFill="1" applyAlignment="1">
      <alignment horizontal="center" vertical="center"/>
    </xf>
    <xf numFmtId="4" fontId="8" fillId="26" borderId="0" xfId="0" applyNumberFormat="1" applyFont="1" applyFill="1" applyBorder="1" applyAlignment="1">
      <alignment horizontal="left" vertical="center" wrapText="1"/>
    </xf>
    <xf numFmtId="3" fontId="9" fillId="26" borderId="2" xfId="4" applyNumberFormat="1" applyFont="1" applyFill="1" applyBorder="1" applyAlignment="1">
      <alignment horizontal="center" vertical="center"/>
    </xf>
    <xf numFmtId="0" fontId="9" fillId="26" borderId="2" xfId="4" applyFont="1" applyFill="1" applyBorder="1" applyAlignment="1">
      <alignment horizontal="center" vertical="center" wrapText="1"/>
    </xf>
    <xf numFmtId="4" fontId="35" fillId="26" borderId="0" xfId="1" applyNumberFormat="1" applyFont="1" applyFill="1" applyBorder="1" applyAlignment="1">
      <alignment horizontal="center" vertical="center"/>
    </xf>
    <xf numFmtId="4" fontId="35" fillId="26" borderId="0" xfId="1" applyNumberFormat="1" applyFont="1" applyFill="1" applyBorder="1" applyAlignment="1">
      <alignment horizontal="center" vertical="center" wrapText="1"/>
    </xf>
    <xf numFmtId="4" fontId="9" fillId="26" borderId="0" xfId="1" applyNumberFormat="1" applyFont="1" applyFill="1" applyBorder="1" applyAlignment="1">
      <alignment horizontal="center" vertical="center" wrapText="1"/>
    </xf>
    <xf numFmtId="4" fontId="9" fillId="26" borderId="3" xfId="1" applyNumberFormat="1" applyFont="1" applyFill="1" applyBorder="1" applyAlignment="1">
      <alignment horizontal="center" vertical="center"/>
    </xf>
    <xf numFmtId="4" fontId="9" fillId="26" borderId="3" xfId="4" applyNumberFormat="1" applyFont="1" applyFill="1" applyBorder="1" applyAlignment="1">
      <alignment horizontal="center" vertical="center"/>
    </xf>
    <xf numFmtId="4" fontId="43" fillId="26" borderId="0" xfId="1" applyNumberFormat="1" applyFont="1" applyFill="1" applyBorder="1" applyAlignment="1">
      <alignment horizontal="center" vertical="center"/>
    </xf>
    <xf numFmtId="4" fontId="43" fillId="26" borderId="0" xfId="1" applyNumberFormat="1" applyFont="1" applyFill="1" applyBorder="1" applyAlignment="1">
      <alignment horizontal="center" vertical="center" wrapText="1"/>
    </xf>
    <xf numFmtId="4" fontId="30" fillId="26" borderId="0" xfId="1" applyNumberFormat="1" applyFont="1" applyFill="1" applyBorder="1" applyAlignment="1">
      <alignment horizontal="center" vertical="center" wrapText="1"/>
    </xf>
    <xf numFmtId="4" fontId="30" fillId="26" borderId="3" xfId="1" applyNumberFormat="1" applyFont="1" applyFill="1" applyBorder="1" applyAlignment="1">
      <alignment horizontal="center" vertical="center"/>
    </xf>
    <xf numFmtId="4" fontId="30" fillId="26" borderId="3" xfId="4" applyNumberFormat="1" applyFont="1" applyFill="1" applyBorder="1" applyAlignment="1">
      <alignment horizontal="center" vertical="center"/>
    </xf>
    <xf numFmtId="4" fontId="44" fillId="26" borderId="0" xfId="4" applyNumberFormat="1" applyFont="1" applyFill="1" applyBorder="1" applyAlignment="1">
      <alignment horizontal="center" vertical="center"/>
    </xf>
    <xf numFmtId="3" fontId="30" fillId="26" borderId="2" xfId="4" quotePrefix="1" applyNumberFormat="1" applyFont="1" applyFill="1" applyBorder="1" applyAlignment="1">
      <alignment horizontal="right" vertical="center"/>
    </xf>
    <xf numFmtId="0" fontId="30" fillId="26" borderId="2" xfId="4" applyFont="1" applyFill="1" applyBorder="1" applyAlignment="1">
      <alignment horizontal="left" vertical="center" wrapText="1"/>
    </xf>
    <xf numFmtId="3" fontId="8" fillId="26" borderId="2" xfId="4" applyNumberFormat="1" applyFont="1" applyFill="1" applyBorder="1" applyAlignment="1">
      <alignment horizontal="center" vertical="center"/>
    </xf>
    <xf numFmtId="4" fontId="8" fillId="26" borderId="3" xfId="4" applyNumberFormat="1" applyFont="1" applyFill="1" applyBorder="1" applyAlignment="1">
      <alignment horizontal="center" vertical="center"/>
    </xf>
    <xf numFmtId="0" fontId="8" fillId="26" borderId="2" xfId="4" applyFont="1" applyFill="1" applyBorder="1" applyAlignment="1">
      <alignment horizontal="left" vertical="center" wrapText="1"/>
    </xf>
    <xf numFmtId="3" fontId="9" fillId="26" borderId="2" xfId="4" quotePrefix="1" applyNumberFormat="1" applyFont="1" applyFill="1" applyBorder="1" applyAlignment="1">
      <alignment horizontal="right" vertical="center"/>
    </xf>
    <xf numFmtId="4" fontId="9" fillId="26" borderId="0" xfId="0" quotePrefix="1" applyNumberFormat="1" applyFont="1" applyFill="1" applyBorder="1" applyAlignment="1">
      <alignment horizontal="right" vertical="center"/>
    </xf>
    <xf numFmtId="0" fontId="9" fillId="26" borderId="0" xfId="4" applyFont="1" applyFill="1" applyBorder="1" applyAlignment="1">
      <alignment horizontal="left" vertical="top" wrapText="1"/>
    </xf>
    <xf numFmtId="49" fontId="9" fillId="28" borderId="10" xfId="0" quotePrefix="1" applyNumberFormat="1" applyFont="1" applyFill="1" applyBorder="1" applyAlignment="1">
      <alignment horizontal="center" vertical="center"/>
    </xf>
    <xf numFmtId="0" fontId="9" fillId="28" borderId="10" xfId="0" quotePrefix="1" applyFont="1" applyFill="1" applyBorder="1" applyAlignment="1">
      <alignment horizontal="center" vertical="center"/>
    </xf>
    <xf numFmtId="0" fontId="8" fillId="26" borderId="10" xfId="0" applyFont="1" applyFill="1" applyBorder="1" applyAlignment="1">
      <alignment horizontal="left" wrapText="1"/>
    </xf>
    <xf numFmtId="44" fontId="8" fillId="26" borderId="10" xfId="82" applyFont="1" applyFill="1" applyBorder="1" applyAlignment="1">
      <alignment horizontal="right" vertical="center"/>
    </xf>
    <xf numFmtId="0" fontId="9" fillId="28" borderId="10" xfId="0" applyFont="1" applyFill="1" applyBorder="1" applyAlignment="1">
      <alignment wrapText="1"/>
    </xf>
    <xf numFmtId="4" fontId="30" fillId="26" borderId="2" xfId="0" applyNumberFormat="1" applyFont="1" applyFill="1" applyBorder="1" applyAlignment="1">
      <alignment horizontal="left" vertical="center" wrapText="1"/>
    </xf>
    <xf numFmtId="3" fontId="30" fillId="26" borderId="0" xfId="0" quotePrefix="1" applyNumberFormat="1" applyFont="1" applyFill="1" applyBorder="1" applyAlignment="1">
      <alignment horizontal="right" vertical="center"/>
    </xf>
    <xf numFmtId="44" fontId="0" fillId="26" borderId="10" xfId="82" applyFont="1" applyFill="1" applyBorder="1" applyAlignment="1">
      <alignment horizontal="right" vertical="center"/>
    </xf>
    <xf numFmtId="0" fontId="8" fillId="26" borderId="10" xfId="0" applyFont="1" applyFill="1" applyBorder="1" applyAlignment="1">
      <alignment wrapText="1"/>
    </xf>
    <xf numFmtId="0"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left" vertical="top" wrapText="1"/>
    </xf>
    <xf numFmtId="2" fontId="8" fillId="0" borderId="10" xfId="63" applyNumberFormat="1" applyFont="1" applyBorder="1" applyAlignment="1">
      <alignment horizontal="center" vertical="center"/>
    </xf>
    <xf numFmtId="4" fontId="8" fillId="26" borderId="10" xfId="0" applyNumberFormat="1" applyFont="1" applyFill="1" applyBorder="1" applyAlignment="1">
      <alignment horizontal="center" vertical="center" wrapText="1"/>
    </xf>
    <xf numFmtId="0" fontId="9" fillId="26" borderId="2" xfId="4" applyFont="1" applyFill="1" applyBorder="1" applyAlignment="1">
      <alignment vertical="top" wrapText="1"/>
    </xf>
    <xf numFmtId="4" fontId="9" fillId="26" borderId="10" xfId="4" applyNumberFormat="1" applyFont="1" applyFill="1" applyBorder="1" applyAlignment="1">
      <alignment horizontal="center" vertical="top"/>
    </xf>
    <xf numFmtId="0" fontId="8" fillId="26" borderId="4" xfId="4" applyFont="1" applyFill="1" applyBorder="1" applyAlignment="1">
      <alignment vertical="top" wrapText="1"/>
    </xf>
    <xf numFmtId="4" fontId="9" fillId="26" borderId="2" xfId="0" applyNumberFormat="1" applyFont="1" applyFill="1" applyBorder="1" applyAlignment="1">
      <alignment horizontal="left" vertical="center" wrapText="1"/>
    </xf>
    <xf numFmtId="0" fontId="9" fillId="26" borderId="0" xfId="4" applyFont="1" applyFill="1" applyBorder="1" applyAlignment="1">
      <alignment horizontal="left" vertical="top" wrapText="1"/>
    </xf>
    <xf numFmtId="4" fontId="8" fillId="26" borderId="24" xfId="1" applyNumberFormat="1" applyFont="1" applyFill="1" applyBorder="1" applyAlignment="1">
      <alignment horizontal="center" vertical="top"/>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4" fontId="9" fillId="26" borderId="0" xfId="0" applyNumberFormat="1" applyFont="1" applyFill="1" applyBorder="1" applyAlignment="1">
      <alignment horizontal="left" vertical="center" wrapText="1"/>
    </xf>
    <xf numFmtId="0" fontId="9" fillId="26" borderId="8" xfId="4" applyFont="1" applyFill="1" applyBorder="1" applyAlignment="1">
      <alignment vertical="top" wrapText="1"/>
    </xf>
    <xf numFmtId="4" fontId="9" fillId="26" borderId="11" xfId="4" applyNumberFormat="1" applyFont="1" applyFill="1" applyBorder="1" applyAlignment="1">
      <alignment horizontal="center" vertical="top" wrapText="1"/>
    </xf>
    <xf numFmtId="4" fontId="9" fillId="26" borderId="2" xfId="0" applyNumberFormat="1" applyFont="1" applyFill="1" applyBorder="1" applyAlignment="1">
      <alignment horizontal="left" vertical="center" wrapText="1"/>
    </xf>
    <xf numFmtId="4" fontId="30" fillId="26" borderId="2" xfId="0" applyNumberFormat="1" applyFont="1" applyFill="1" applyBorder="1" applyAlignment="1">
      <alignment horizontal="left" vertical="center" wrapText="1"/>
    </xf>
    <xf numFmtId="4" fontId="30" fillId="26" borderId="0" xfId="0" applyNumberFormat="1" applyFont="1" applyFill="1" applyBorder="1" applyAlignment="1">
      <alignment horizontal="left" vertical="center" wrapText="1"/>
    </xf>
    <xf numFmtId="4" fontId="30" fillId="26" borderId="3" xfId="0" applyNumberFormat="1" applyFont="1" applyFill="1" applyBorder="1" applyAlignment="1">
      <alignment horizontal="left" vertical="center" wrapText="1"/>
    </xf>
    <xf numFmtId="4" fontId="9" fillId="26" borderId="2"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xf>
    <xf numFmtId="44" fontId="8" fillId="28" borderId="10" xfId="82" applyFont="1" applyFill="1" applyBorder="1" applyAlignment="1">
      <alignment horizontal="center" vertical="center"/>
    </xf>
    <xf numFmtId="44" fontId="8" fillId="28" borderId="10" xfId="82" applyFont="1" applyFill="1" applyBorder="1" applyAlignment="1">
      <alignment horizontal="right" vertical="center" indent="1"/>
    </xf>
    <xf numFmtId="44" fontId="9" fillId="0" borderId="10" xfId="63" applyNumberFormat="1" applyFont="1" applyBorder="1"/>
    <xf numFmtId="49" fontId="8" fillId="0" borderId="10" xfId="0" applyNumberFormat="1" applyFont="1" applyBorder="1" applyAlignment="1">
      <alignment horizontal="center" vertical="center"/>
    </xf>
    <xf numFmtId="4" fontId="8" fillId="26" borderId="2" xfId="0" applyNumberFormat="1" applyFont="1" applyFill="1" applyBorder="1" applyAlignment="1">
      <alignment horizontal="left" vertical="center"/>
    </xf>
    <xf numFmtId="4" fontId="8" fillId="26" borderId="0" xfId="0" applyNumberFormat="1" applyFont="1" applyFill="1" applyBorder="1" applyAlignment="1">
      <alignment horizontal="left" vertical="center"/>
    </xf>
    <xf numFmtId="4" fontId="9" fillId="26" borderId="2" xfId="0" applyNumberFormat="1" applyFont="1" applyFill="1" applyBorder="1" applyAlignment="1">
      <alignment horizontal="left" vertical="center" wrapText="1"/>
    </xf>
    <xf numFmtId="4" fontId="8" fillId="0" borderId="10" xfId="0" applyNumberFormat="1" applyFont="1" applyFill="1" applyBorder="1" applyAlignment="1">
      <alignment horizontal="left" vertical="center"/>
    </xf>
    <xf numFmtId="4" fontId="8" fillId="0" borderId="10" xfId="0" applyNumberFormat="1" applyFont="1" applyFill="1" applyBorder="1" applyAlignment="1">
      <alignment horizontal="left" vertical="center" wrapText="1"/>
    </xf>
    <xf numFmtId="0" fontId="8" fillId="0" borderId="11" xfId="0" applyFont="1" applyBorder="1" applyAlignment="1">
      <alignment vertical="center"/>
    </xf>
    <xf numFmtId="4" fontId="9" fillId="26" borderId="2"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xf>
    <xf numFmtId="4" fontId="9" fillId="26" borderId="2" xfId="0" applyNumberFormat="1" applyFont="1" applyFill="1" applyBorder="1" applyAlignment="1">
      <alignment horizontal="left" vertical="center" wrapText="1"/>
    </xf>
    <xf numFmtId="0" fontId="8" fillId="0" borderId="10" xfId="0" applyFont="1" applyFill="1" applyBorder="1" applyAlignment="1">
      <alignment horizontal="center" vertical="center"/>
    </xf>
    <xf numFmtId="0" fontId="8" fillId="26" borderId="10" xfId="0" applyFont="1" applyFill="1" applyBorder="1" applyAlignment="1">
      <alignment horizontal="center" vertical="center"/>
    </xf>
    <xf numFmtId="0" fontId="8" fillId="0" borderId="10" xfId="0" applyFont="1" applyFill="1" applyBorder="1" applyAlignment="1">
      <alignment horizontal="center" vertical="center"/>
    </xf>
    <xf numFmtId="2" fontId="8" fillId="0" borderId="10" xfId="0" applyNumberFormat="1" applyFont="1" applyBorder="1" applyAlignment="1">
      <alignment horizontal="center" vertical="center"/>
    </xf>
    <xf numFmtId="44" fontId="8" fillId="0" borderId="10" xfId="82" applyFont="1" applyBorder="1" applyAlignment="1">
      <alignment horizontal="center" vertical="center"/>
    </xf>
    <xf numFmtId="4" fontId="9" fillId="0" borderId="11" xfId="0" applyNumberFormat="1" applyFont="1" applyFill="1" applyBorder="1" applyAlignment="1">
      <alignment horizontal="center" vertical="center"/>
    </xf>
    <xf numFmtId="0" fontId="8" fillId="0" borderId="10" xfId="0" quotePrefix="1" applyFont="1" applyBorder="1" applyAlignment="1">
      <alignment horizontal="center" vertical="center"/>
    </xf>
    <xf numFmtId="0" fontId="9" fillId="0" borderId="10" xfId="0" quotePrefix="1" applyFont="1" applyBorder="1" applyAlignment="1">
      <alignment horizontal="center" vertical="center"/>
    </xf>
    <xf numFmtId="0" fontId="9" fillId="0" borderId="10" xfId="0" applyFont="1" applyBorder="1" applyAlignment="1">
      <alignment horizontal="center" vertical="center"/>
    </xf>
    <xf numFmtId="44" fontId="9" fillId="0" borderId="10" xfId="82"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left" wrapText="1"/>
    </xf>
    <xf numFmtId="0" fontId="9" fillId="28" borderId="10" xfId="0" quotePrefix="1"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4" fontId="8" fillId="0" borderId="10" xfId="82" applyFont="1" applyFill="1" applyBorder="1" applyAlignment="1">
      <alignment horizontal="right" vertical="center"/>
    </xf>
    <xf numFmtId="1" fontId="9" fillId="28" borderId="10" xfId="0" quotePrefix="1"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Font="1" applyFill="1" applyBorder="1" applyAlignment="1">
      <alignment vertical="center"/>
    </xf>
    <xf numFmtId="4" fontId="8" fillId="26" borderId="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164" fontId="8" fillId="0" borderId="7" xfId="1" applyBorder="1" applyAlignment="1">
      <alignment horizontal="center" vertical="center"/>
    </xf>
    <xf numFmtId="164" fontId="8" fillId="0" borderId="7" xfId="1" applyBorder="1" applyAlignment="1">
      <alignment vertical="center"/>
    </xf>
    <xf numFmtId="164" fontId="8" fillId="0" borderId="8" xfId="1" applyBorder="1" applyAlignment="1">
      <alignment vertical="center"/>
    </xf>
    <xf numFmtId="164" fontId="9" fillId="0" borderId="7" xfId="1" applyFont="1" applyBorder="1" applyAlignment="1">
      <alignment horizontal="center" vertical="center"/>
    </xf>
    <xf numFmtId="44" fontId="9" fillId="0" borderId="7" xfId="82" applyFont="1" applyBorder="1" applyAlignment="1">
      <alignment horizontal="right" vertical="center" indent="1"/>
    </xf>
    <xf numFmtId="0" fontId="8"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9" fillId="26" borderId="0" xfId="4" applyFont="1" applyFill="1" applyBorder="1" applyAlignment="1">
      <alignment vertical="center"/>
    </xf>
    <xf numFmtId="0" fontId="9" fillId="26" borderId="3" xfId="4" applyFont="1" applyFill="1" applyBorder="1" applyAlignment="1">
      <alignment vertical="center"/>
    </xf>
    <xf numFmtId="0" fontId="9" fillId="26" borderId="0" xfId="4" applyFont="1" applyFill="1" applyBorder="1" applyAlignment="1">
      <alignment vertical="top"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9" fillId="26" borderId="2" xfId="4" applyFont="1" applyFill="1" applyBorder="1" applyAlignment="1">
      <alignment horizontal="left" vertical="top" wrapText="1"/>
    </xf>
    <xf numFmtId="0" fontId="8" fillId="0" borderId="10" xfId="0" applyFont="1" applyBorder="1" applyAlignment="1">
      <alignment horizontal="center" vertical="center"/>
    </xf>
    <xf numFmtId="0" fontId="9" fillId="26" borderId="0" xfId="4" applyFont="1" applyFill="1" applyBorder="1" applyAlignment="1">
      <alignment horizontal="left" vertical="top" wrapText="1"/>
    </xf>
    <xf numFmtId="0" fontId="9" fillId="26" borderId="2" xfId="4" applyFont="1" applyFill="1" applyBorder="1" applyAlignment="1">
      <alignment horizontal="left" vertical="top" wrapText="1"/>
    </xf>
    <xf numFmtId="0" fontId="30" fillId="26" borderId="2" xfId="4" applyFont="1" applyFill="1" applyBorder="1" applyAlignment="1">
      <alignment horizontal="left" vertical="top" wrapText="1"/>
    </xf>
    <xf numFmtId="4" fontId="9" fillId="26" borderId="2"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xf>
    <xf numFmtId="4" fontId="30" fillId="26" borderId="0" xfId="0" applyNumberFormat="1" applyFont="1" applyFill="1" applyBorder="1" applyAlignment="1">
      <alignment horizontal="left" vertical="center" wrapText="1"/>
    </xf>
    <xf numFmtId="164" fontId="8" fillId="0" borderId="7" xfId="1" applyFont="1" applyBorder="1" applyAlignment="1">
      <alignment vertical="center"/>
    </xf>
    <xf numFmtId="164" fontId="8" fillId="0" borderId="8" xfId="1" applyFont="1" applyBorder="1" applyAlignment="1">
      <alignment vertical="center"/>
    </xf>
    <xf numFmtId="44" fontId="0" fillId="0" borderId="10" xfId="82" applyFont="1" applyFill="1" applyBorder="1" applyAlignment="1">
      <alignment horizontal="right" vertical="center"/>
    </xf>
    <xf numFmtId="44" fontId="8" fillId="0" borderId="10" xfId="82" applyFont="1" applyFill="1" applyBorder="1" applyAlignment="1">
      <alignment vertical="center"/>
    </xf>
    <xf numFmtId="0" fontId="9" fillId="30" borderId="10" xfId="63" applyFont="1" applyFill="1" applyBorder="1" applyAlignment="1">
      <alignment horizontal="center" vertical="center"/>
    </xf>
    <xf numFmtId="4" fontId="8" fillId="26" borderId="0" xfId="1" applyNumberFormat="1" applyFont="1" applyFill="1" applyAlignment="1">
      <alignment horizontal="center" vertical="top"/>
    </xf>
    <xf numFmtId="4" fontId="8" fillId="26" borderId="0" xfId="1" applyNumberFormat="1" applyFont="1" applyFill="1" applyAlignment="1">
      <alignment horizontal="center" vertical="top" wrapText="1"/>
    </xf>
    <xf numFmtId="4" fontId="8" fillId="26" borderId="0" xfId="1" applyNumberFormat="1" applyFont="1" applyFill="1" applyAlignment="1">
      <alignment horizontal="center" vertical="center"/>
    </xf>
    <xf numFmtId="2" fontId="46" fillId="26" borderId="0" xfId="4" applyNumberFormat="1" applyFont="1" applyFill="1" applyAlignment="1">
      <alignment horizontal="center" vertical="top" wrapText="1"/>
    </xf>
    <xf numFmtId="2" fontId="46" fillId="26" borderId="3" xfId="4" applyNumberFormat="1" applyFont="1" applyFill="1" applyBorder="1" applyAlignment="1">
      <alignment horizontal="center" vertical="top" wrapText="1"/>
    </xf>
    <xf numFmtId="2" fontId="46" fillId="26" borderId="0" xfId="1" applyNumberFormat="1" applyFont="1" applyFill="1" applyAlignment="1">
      <alignment horizontal="center" vertical="top"/>
    </xf>
    <xf numFmtId="2" fontId="8" fillId="26" borderId="0" xfId="4" applyNumberFormat="1" applyFont="1" applyFill="1" applyAlignment="1">
      <alignment horizontal="center" vertical="top" wrapText="1"/>
    </xf>
    <xf numFmtId="2" fontId="8" fillId="26" borderId="3" xfId="4" applyNumberFormat="1" applyFont="1" applyFill="1" applyBorder="1" applyAlignment="1">
      <alignment horizontal="center" vertical="top" wrapText="1"/>
    </xf>
    <xf numFmtId="2" fontId="8" fillId="26" borderId="0" xfId="1" applyNumberFormat="1" applyFont="1" applyFill="1" applyAlignment="1">
      <alignment horizontal="center" vertical="top" wrapText="1"/>
    </xf>
    <xf numFmtId="2" fontId="8" fillId="26" borderId="0" xfId="1" applyNumberFormat="1" applyFont="1" applyFill="1" applyAlignment="1">
      <alignment horizontal="center" vertical="top"/>
    </xf>
    <xf numFmtId="171" fontId="8" fillId="26" borderId="0" xfId="4" applyNumberFormat="1" applyFont="1" applyFill="1" applyAlignment="1">
      <alignment horizontal="center" vertical="top" wrapText="1"/>
    </xf>
    <xf numFmtId="0" fontId="8" fillId="0" borderId="10" xfId="0" applyNumberFormat="1" applyFont="1" applyFill="1" applyBorder="1" applyAlignment="1">
      <alignment horizontal="center" vertical="center"/>
    </xf>
    <xf numFmtId="173" fontId="8" fillId="26" borderId="0" xfId="4" applyNumberFormat="1" applyFont="1" applyFill="1" applyBorder="1" applyAlignment="1">
      <alignment horizontal="center" vertical="top"/>
    </xf>
    <xf numFmtId="173" fontId="8" fillId="26" borderId="0" xfId="1" applyNumberFormat="1" applyFont="1" applyFill="1" applyBorder="1" applyAlignment="1">
      <alignment horizontal="center" vertical="top"/>
    </xf>
    <xf numFmtId="0" fontId="9" fillId="26" borderId="0" xfId="4" applyFont="1" applyFill="1" applyBorder="1" applyAlignment="1">
      <alignment horizontal="left" vertical="top" wrapText="1"/>
    </xf>
    <xf numFmtId="2" fontId="8" fillId="26" borderId="0" xfId="4" applyNumberFormat="1" applyFont="1" applyFill="1" applyBorder="1" applyAlignment="1">
      <alignment horizontal="center" vertical="top"/>
    </xf>
    <xf numFmtId="2" fontId="8" fillId="26" borderId="3" xfId="1" applyNumberFormat="1" applyFont="1" applyFill="1" applyBorder="1" applyAlignment="1">
      <alignment horizontal="center" vertical="top"/>
    </xf>
    <xf numFmtId="2" fontId="8" fillId="26" borderId="8" xfId="4" applyNumberFormat="1" applyFont="1" applyFill="1" applyBorder="1" applyAlignment="1">
      <alignment horizontal="center" vertical="top" wrapText="1"/>
    </xf>
    <xf numFmtId="0" fontId="8" fillId="26" borderId="0" xfId="4" applyFont="1" applyFill="1" applyBorder="1" applyAlignment="1">
      <alignment vertical="top" wrapText="1"/>
    </xf>
    <xf numFmtId="0" fontId="8" fillId="0" borderId="10" xfId="0" applyFont="1" applyBorder="1" applyAlignment="1">
      <alignment horizontal="center" vertical="center"/>
    </xf>
    <xf numFmtId="0" fontId="9" fillId="26" borderId="2" xfId="4" applyFont="1" applyFill="1" applyBorder="1" applyAlignment="1">
      <alignment horizontal="left" vertical="top" wrapText="1"/>
    </xf>
    <xf numFmtId="0" fontId="8" fillId="0" borderId="10" xfId="0" applyFont="1" applyFill="1" applyBorder="1" applyAlignment="1">
      <alignment horizontal="center" vertical="center"/>
    </xf>
    <xf numFmtId="4" fontId="9" fillId="26" borderId="2" xfId="0" applyNumberFormat="1" applyFont="1" applyFill="1" applyBorder="1" applyAlignment="1">
      <alignment horizontal="left" vertical="center" wrapText="1"/>
    </xf>
    <xf numFmtId="4" fontId="8" fillId="26" borderId="2" xfId="4" applyNumberFormat="1" applyFont="1" applyFill="1" applyBorder="1" applyAlignment="1">
      <alignment horizontal="left" vertical="top" wrapText="1"/>
    </xf>
    <xf numFmtId="4" fontId="8" fillId="26" borderId="0" xfId="4" applyNumberFormat="1" applyFont="1" applyFill="1" applyBorder="1" applyAlignment="1">
      <alignment horizontal="left" vertical="top" wrapText="1"/>
    </xf>
    <xf numFmtId="4" fontId="8" fillId="26" borderId="0" xfId="4" applyNumberFormat="1" applyFont="1" applyFill="1" applyBorder="1" applyAlignment="1">
      <alignment horizontal="center" vertical="top" wrapText="1"/>
    </xf>
    <xf numFmtId="164" fontId="8" fillId="0" borderId="10" xfId="1" applyFont="1" applyBorder="1" applyAlignment="1">
      <alignment horizontal="center" vertical="center"/>
    </xf>
    <xf numFmtId="0" fontId="9" fillId="26" borderId="10" xfId="0" applyFont="1" applyFill="1" applyBorder="1" applyAlignment="1">
      <alignment horizontal="left" vertical="center" wrapText="1"/>
    </xf>
    <xf numFmtId="2" fontId="8" fillId="0" borderId="10" xfId="1" applyNumberFormat="1" applyFont="1" applyBorder="1" applyAlignment="1">
      <alignment horizontal="center" vertical="center"/>
    </xf>
    <xf numFmtId="2" fontId="8" fillId="26" borderId="0" xfId="1" applyNumberFormat="1" applyFont="1" applyFill="1" applyBorder="1" applyAlignment="1">
      <alignment horizontal="center" vertical="center"/>
    </xf>
    <xf numFmtId="2" fontId="8" fillId="26" borderId="0" xfId="1" applyNumberFormat="1" applyFont="1" applyFill="1" applyBorder="1" applyAlignment="1">
      <alignment horizontal="center" vertical="center" wrapText="1"/>
    </xf>
    <xf numFmtId="173" fontId="8" fillId="26" borderId="0" xfId="4" applyNumberFormat="1" applyFont="1" applyFill="1" applyBorder="1" applyAlignment="1">
      <alignment horizontal="center" vertical="center"/>
    </xf>
    <xf numFmtId="0" fontId="8" fillId="0" borderId="10" xfId="0" applyFont="1" applyFill="1" applyBorder="1" applyAlignment="1">
      <alignment horizontal="center" vertical="center"/>
    </xf>
    <xf numFmtId="4" fontId="9" fillId="26" borderId="2" xfId="0" applyNumberFormat="1" applyFont="1" applyFill="1" applyBorder="1" applyAlignment="1">
      <alignment horizontal="left" vertical="center" wrapText="1"/>
    </xf>
    <xf numFmtId="4" fontId="8" fillId="26" borderId="0" xfId="4" applyNumberFormat="1" applyFont="1" applyFill="1" applyBorder="1" applyAlignment="1">
      <alignment horizontal="center" vertical="center" wrapText="1"/>
    </xf>
    <xf numFmtId="171" fontId="8" fillId="26" borderId="0" xfId="4" applyNumberFormat="1" applyFont="1" applyFill="1" applyBorder="1" applyAlignment="1">
      <alignment horizontal="center" vertical="center" wrapText="1"/>
    </xf>
    <xf numFmtId="2" fontId="8" fillId="26" borderId="0" xfId="4" applyNumberFormat="1" applyFont="1" applyFill="1" applyBorder="1" applyAlignment="1">
      <alignment horizontal="center" vertical="center"/>
    </xf>
    <xf numFmtId="0" fontId="8" fillId="0" borderId="10" xfId="0" applyFont="1" applyFill="1" applyBorder="1" applyAlignment="1">
      <alignment vertical="center" wrapText="1"/>
    </xf>
    <xf numFmtId="173" fontId="8" fillId="26" borderId="0" xfId="0" applyNumberFormat="1" applyFont="1" applyFill="1" applyBorder="1" applyAlignment="1">
      <alignment horizontal="center" vertical="center" wrapText="1"/>
    </xf>
    <xf numFmtId="173" fontId="8" fillId="26" borderId="0" xfId="0" applyNumberFormat="1" applyFont="1" applyFill="1" applyBorder="1" applyAlignment="1">
      <alignment horizontal="center" vertical="center"/>
    </xf>
    <xf numFmtId="4" fontId="9" fillId="26" borderId="23"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26" borderId="10" xfId="0" applyFont="1" applyFill="1" applyBorder="1" applyAlignment="1">
      <alignment horizontal="center" vertical="center"/>
    </xf>
    <xf numFmtId="4" fontId="9" fillId="26" borderId="2"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xf>
    <xf numFmtId="4" fontId="9" fillId="26" borderId="3" xfId="4" applyNumberFormat="1" applyFont="1" applyFill="1" applyBorder="1" applyAlignment="1">
      <alignment horizontal="center" vertical="top" wrapText="1"/>
    </xf>
    <xf numFmtId="4" fontId="9" fillId="26" borderId="2" xfId="0" applyNumberFormat="1" applyFont="1" applyFill="1" applyBorder="1" applyAlignment="1">
      <alignment horizontal="left" vertical="center" wrapText="1"/>
    </xf>
    <xf numFmtId="4" fontId="30" fillId="26" borderId="2" xfId="0" applyNumberFormat="1" applyFont="1" applyFill="1" applyBorder="1" applyAlignment="1">
      <alignment horizontal="left" vertical="center" wrapText="1"/>
    </xf>
    <xf numFmtId="4" fontId="33" fillId="26" borderId="0" xfId="1" applyNumberFormat="1" applyFont="1" applyFill="1" applyBorder="1" applyAlignment="1">
      <alignment horizontal="center" vertical="top" wrapText="1"/>
    </xf>
    <xf numFmtId="0" fontId="8" fillId="26" borderId="0" xfId="4" applyFont="1" applyFill="1" applyBorder="1" applyAlignment="1">
      <alignment horizontal="center" vertical="top" wrapText="1"/>
    </xf>
    <xf numFmtId="0" fontId="8" fillId="0" borderId="10" xfId="63" applyBorder="1"/>
    <xf numFmtId="4" fontId="8" fillId="26" borderId="4" xfId="0" applyNumberFormat="1" applyFont="1" applyFill="1" applyBorder="1" applyAlignment="1">
      <alignment horizontal="center" vertical="center"/>
    </xf>
    <xf numFmtId="4" fontId="9" fillId="26" borderId="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26" borderId="10" xfId="0" applyFont="1" applyFill="1" applyBorder="1" applyAlignment="1">
      <alignment horizontal="center" vertical="center"/>
    </xf>
    <xf numFmtId="0" fontId="9" fillId="28" borderId="10" xfId="0" applyFont="1" applyFill="1" applyBorder="1" applyAlignment="1">
      <alignment horizontal="center" vertical="center"/>
    </xf>
    <xf numFmtId="0" fontId="8" fillId="28" borderId="10" xfId="0" applyFont="1" applyFill="1" applyBorder="1" applyAlignment="1">
      <alignment horizontal="center" vertical="center"/>
    </xf>
    <xf numFmtId="0" fontId="8" fillId="0" borderId="10" xfId="0" applyFont="1" applyBorder="1" applyAlignment="1">
      <alignment horizontal="center" vertical="center"/>
    </xf>
    <xf numFmtId="4" fontId="9" fillId="26" borderId="2" xfId="0" applyNumberFormat="1" applyFont="1" applyFill="1" applyBorder="1" applyAlignment="1">
      <alignment horizontal="left" vertical="center" wrapText="1"/>
    </xf>
    <xf numFmtId="4" fontId="30" fillId="26" borderId="2" xfId="0" applyNumberFormat="1" applyFont="1" applyFill="1" applyBorder="1" applyAlignment="1">
      <alignment horizontal="left" vertical="center" wrapText="1"/>
    </xf>
    <xf numFmtId="4" fontId="30" fillId="26" borderId="0" xfId="0" applyNumberFormat="1" applyFont="1" applyFill="1" applyBorder="1" applyAlignment="1">
      <alignment horizontal="left" vertical="center" wrapText="1"/>
    </xf>
    <xf numFmtId="4" fontId="30" fillId="26" borderId="3" xfId="0" applyNumberFormat="1" applyFont="1" applyFill="1" applyBorder="1" applyAlignment="1">
      <alignment horizontal="left" vertical="center" wrapText="1"/>
    </xf>
    <xf numFmtId="49" fontId="8" fillId="0" borderId="10" xfId="0" quotePrefix="1" applyNumberFormat="1" applyFont="1" applyBorder="1" applyAlignment="1">
      <alignment horizontal="center" vertical="center"/>
    </xf>
    <xf numFmtId="0" fontId="9" fillId="28" borderId="10" xfId="0" applyFont="1" applyFill="1" applyBorder="1"/>
    <xf numFmtId="0" fontId="8" fillId="0" borderId="10" xfId="0" quotePrefix="1" applyFont="1" applyFill="1" applyBorder="1" applyAlignment="1">
      <alignment horizontal="center" vertical="center"/>
    </xf>
    <xf numFmtId="1" fontId="8" fillId="26" borderId="10" xfId="0" quotePrefix="1" applyNumberFormat="1" applyFont="1" applyFill="1" applyBorder="1" applyAlignment="1" applyProtection="1">
      <alignment horizontal="center" vertical="center"/>
      <protection locked="0"/>
    </xf>
    <xf numFmtId="49" fontId="8" fillId="0" borderId="10" xfId="0" quotePrefix="1" applyNumberFormat="1" applyFont="1" applyFill="1" applyBorder="1" applyAlignment="1">
      <alignment horizontal="center" vertical="center"/>
    </xf>
    <xf numFmtId="0" fontId="8" fillId="26" borderId="10" xfId="0" quotePrefix="1" applyFont="1" applyFill="1" applyBorder="1" applyAlignment="1">
      <alignment horizontal="center" vertical="center"/>
    </xf>
    <xf numFmtId="3" fontId="9" fillId="26" borderId="2" xfId="4" applyNumberFormat="1" applyFont="1" applyFill="1" applyBorder="1" applyAlignment="1">
      <alignment horizontal="right" vertical="center"/>
    </xf>
    <xf numFmtId="3" fontId="30" fillId="26" borderId="2" xfId="4" applyNumberFormat="1" applyFont="1" applyFill="1" applyBorder="1" applyAlignment="1">
      <alignment horizontal="right" vertical="top"/>
    </xf>
    <xf numFmtId="3" fontId="9" fillId="26" borderId="2" xfId="4" quotePrefix="1" applyNumberFormat="1" applyFont="1" applyFill="1" applyBorder="1" applyAlignment="1">
      <alignment horizontal="right" vertical="top"/>
    </xf>
    <xf numFmtId="4" fontId="8" fillId="26" borderId="0" xfId="0" applyNumberFormat="1" applyFont="1" applyFill="1" applyBorder="1" applyAlignment="1">
      <alignment horizontal="right" vertical="center"/>
    </xf>
    <xf numFmtId="4" fontId="9" fillId="26" borderId="0" xfId="0" applyNumberFormat="1" applyFont="1" applyFill="1" applyAlignment="1">
      <alignment horizontal="right" vertical="center"/>
    </xf>
    <xf numFmtId="4" fontId="9" fillId="26" borderId="0" xfId="0" applyNumberFormat="1" applyFont="1" applyFill="1" applyBorder="1" applyAlignment="1">
      <alignment horizontal="right" vertical="center"/>
    </xf>
    <xf numFmtId="4" fontId="30" fillId="26" borderId="0" xfId="0" applyNumberFormat="1" applyFont="1" applyFill="1" applyBorder="1" applyAlignment="1">
      <alignment horizontal="right" vertical="center"/>
    </xf>
    <xf numFmtId="3" fontId="9" fillId="26" borderId="0" xfId="0" quotePrefix="1" applyNumberFormat="1" applyFont="1" applyFill="1" applyBorder="1" applyAlignment="1">
      <alignment horizontal="right" vertical="center"/>
    </xf>
    <xf numFmtId="170" fontId="31" fillId="0" borderId="9" xfId="1" applyNumberFormat="1" applyFont="1" applyBorder="1" applyAlignment="1">
      <alignment horizontal="right" vertical="center"/>
    </xf>
    <xf numFmtId="10" fontId="9" fillId="28" borderId="10" xfId="63" applyNumberFormat="1" applyFont="1" applyFill="1" applyBorder="1" applyAlignment="1">
      <alignment horizontal="right" vertical="center"/>
    </xf>
    <xf numFmtId="170" fontId="9" fillId="28" borderId="10" xfId="1" applyNumberFormat="1" applyFont="1" applyFill="1" applyBorder="1" applyAlignment="1">
      <alignment horizontal="right" vertical="center"/>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4" fontId="9" fillId="26" borderId="0" xfId="0" applyNumberFormat="1"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26" borderId="10" xfId="0" applyFont="1" applyFill="1" applyBorder="1" applyAlignment="1">
      <alignment horizontal="center" vertical="center"/>
    </xf>
    <xf numFmtId="4" fontId="9" fillId="26" borderId="0" xfId="63" applyNumberFormat="1" applyFont="1" applyFill="1" applyBorder="1" applyAlignment="1">
      <alignment horizontal="left" vertical="center"/>
    </xf>
    <xf numFmtId="4" fontId="31" fillId="28" borderId="10" xfId="63"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164" fontId="9" fillId="26" borderId="0" xfId="1" applyFont="1" applyFill="1" applyBorder="1" applyAlignment="1">
      <alignment horizontal="center" vertical="center"/>
    </xf>
    <xf numFmtId="44" fontId="9" fillId="26" borderId="0" xfId="82" applyFont="1" applyFill="1" applyBorder="1" applyAlignment="1">
      <alignment horizontal="center" vertical="center"/>
    </xf>
    <xf numFmtId="0" fontId="8" fillId="0" borderId="10" xfId="63" applyFont="1" applyBorder="1" applyAlignment="1">
      <alignment horizontal="center" vertical="center"/>
    </xf>
    <xf numFmtId="0" fontId="8" fillId="0" borderId="10" xfId="63" applyFont="1" applyBorder="1" applyAlignment="1">
      <alignment horizontal="center"/>
    </xf>
    <xf numFmtId="0" fontId="40" fillId="30" borderId="10" xfId="63" applyFont="1" applyFill="1" applyBorder="1" applyAlignment="1">
      <alignment horizontal="center" vertical="center" wrapText="1"/>
    </xf>
    <xf numFmtId="0" fontId="9" fillId="26" borderId="0" xfId="4" applyFont="1" applyFill="1" applyBorder="1" applyAlignment="1">
      <alignment vertical="center" wrapText="1"/>
    </xf>
    <xf numFmtId="0" fontId="8" fillId="26" borderId="10" xfId="0" applyFont="1" applyFill="1" applyBorder="1" applyAlignment="1">
      <alignment horizontal="center" vertical="center"/>
    </xf>
    <xf numFmtId="4" fontId="9" fillId="26" borderId="2" xfId="0" applyNumberFormat="1" applyFont="1" applyFill="1" applyBorder="1" applyAlignment="1">
      <alignment horizontal="left" vertical="center" wrapText="1"/>
    </xf>
    <xf numFmtId="170" fontId="31" fillId="32" borderId="22" xfId="1" applyNumberFormat="1" applyFont="1" applyFill="1" applyBorder="1" applyAlignment="1">
      <alignment horizontal="right" vertical="center"/>
    </xf>
    <xf numFmtId="10" fontId="31" fillId="32" borderId="22" xfId="1" applyNumberFormat="1" applyFont="1" applyFill="1" applyBorder="1" applyAlignment="1">
      <alignment horizontal="right" vertical="center"/>
    </xf>
    <xf numFmtId="2" fontId="9" fillId="26" borderId="0" xfId="0" applyNumberFormat="1" applyFont="1" applyFill="1" applyBorder="1" applyAlignment="1">
      <alignment vertical="center"/>
    </xf>
    <xf numFmtId="4" fontId="37" fillId="26" borderId="0" xfId="0" applyNumberFormat="1" applyFont="1" applyFill="1" applyBorder="1" applyAlignment="1">
      <alignment horizontal="left" vertical="center"/>
    </xf>
    <xf numFmtId="2" fontId="47" fillId="26" borderId="0" xfId="0" applyNumberFormat="1" applyFont="1" applyFill="1" applyBorder="1" applyAlignment="1">
      <alignment horizontal="left" vertical="center"/>
    </xf>
    <xf numFmtId="0" fontId="0" fillId="0" borderId="0" xfId="0" applyBorder="1"/>
    <xf numFmtId="4" fontId="37" fillId="26" borderId="0" xfId="0" applyNumberFormat="1" applyFont="1" applyFill="1" applyBorder="1" applyAlignment="1">
      <alignment vertical="center"/>
    </xf>
    <xf numFmtId="0" fontId="8" fillId="0" borderId="10" xfId="63" applyFont="1" applyBorder="1" applyAlignment="1">
      <alignment horizontal="center" vertical="center" wrapText="1"/>
    </xf>
    <xf numFmtId="0" fontId="8" fillId="0" borderId="10" xfId="0" applyFont="1" applyBorder="1" applyAlignment="1">
      <alignment horizontal="center" vertical="center" wrapText="1"/>
    </xf>
    <xf numFmtId="44" fontId="8" fillId="0" borderId="10" xfId="63" applyNumberFormat="1" applyFont="1" applyBorder="1" applyAlignment="1">
      <alignment horizontal="center" vertical="center"/>
    </xf>
    <xf numFmtId="0" fontId="9" fillId="30" borderId="10" xfId="0" applyFont="1" applyFill="1" applyBorder="1" applyAlignment="1">
      <alignment horizontal="center"/>
    </xf>
    <xf numFmtId="2" fontId="8" fillId="26" borderId="2" xfId="0" applyNumberFormat="1" applyFont="1" applyFill="1" applyBorder="1" applyAlignment="1">
      <alignment vertical="center"/>
    </xf>
    <xf numFmtId="4" fontId="37" fillId="26" borderId="3" xfId="0" applyNumberFormat="1" applyFont="1" applyFill="1" applyBorder="1" applyAlignment="1">
      <alignment vertical="center"/>
    </xf>
    <xf numFmtId="2" fontId="45" fillId="26" borderId="2" xfId="0" applyNumberFormat="1" applyFont="1" applyFill="1" applyBorder="1" applyAlignment="1">
      <alignment horizontal="left" vertical="center"/>
    </xf>
    <xf numFmtId="4" fontId="37" fillId="26" borderId="3" xfId="0" applyNumberFormat="1" applyFont="1" applyFill="1" applyBorder="1" applyAlignment="1">
      <alignment horizontal="left" vertical="center"/>
    </xf>
    <xf numFmtId="0" fontId="9" fillId="30" borderId="10" xfId="0" applyFont="1" applyFill="1" applyBorder="1" applyAlignment="1">
      <alignment horizontal="center" vertical="center"/>
    </xf>
    <xf numFmtId="0" fontId="40" fillId="0" borderId="10" xfId="63" applyFont="1" applyBorder="1" applyAlignment="1">
      <alignment horizontal="center"/>
    </xf>
    <xf numFmtId="0" fontId="48" fillId="0" borderId="10" xfId="63" applyFont="1" applyBorder="1"/>
    <xf numFmtId="0" fontId="48" fillId="0" borderId="10" xfId="63" applyFont="1" applyBorder="1" applyAlignment="1">
      <alignment horizontal="center" vertical="center"/>
    </xf>
    <xf numFmtId="49" fontId="48" fillId="0" borderId="10" xfId="63" applyNumberFormat="1" applyFont="1" applyBorder="1" applyAlignment="1">
      <alignment horizontal="center" vertical="center"/>
    </xf>
    <xf numFmtId="172" fontId="48" fillId="0" borderId="10" xfId="63" applyNumberFormat="1" applyFont="1" applyBorder="1" applyAlignment="1">
      <alignment horizontal="center" vertical="center"/>
    </xf>
    <xf numFmtId="2" fontId="48" fillId="0" borderId="10" xfId="63" applyNumberFormat="1" applyFont="1" applyBorder="1" applyAlignment="1">
      <alignment horizontal="center" vertical="center"/>
    </xf>
    <xf numFmtId="0" fontId="40" fillId="0" borderId="10" xfId="63" applyFont="1" applyBorder="1" applyAlignment="1">
      <alignment horizontal="center"/>
    </xf>
    <xf numFmtId="0" fontId="48" fillId="0" borderId="10" xfId="0" applyFont="1" applyBorder="1" applyAlignment="1">
      <alignment vertical="center"/>
    </xf>
    <xf numFmtId="2" fontId="48" fillId="26" borderId="10" xfId="63" applyNumberFormat="1" applyFont="1" applyFill="1" applyBorder="1" applyAlignment="1">
      <alignment horizontal="center" vertical="center"/>
    </xf>
    <xf numFmtId="4" fontId="48" fillId="0" borderId="10" xfId="63" applyNumberFormat="1" applyFont="1" applyBorder="1" applyAlignment="1">
      <alignment horizontal="center" vertical="center"/>
    </xf>
    <xf numFmtId="0" fontId="40" fillId="0" borderId="10" xfId="63" applyFont="1" applyBorder="1"/>
    <xf numFmtId="10" fontId="40" fillId="0" borderId="10" xfId="63" applyNumberFormat="1" applyFont="1" applyBorder="1"/>
    <xf numFmtId="2" fontId="40" fillId="0" borderId="10" xfId="63" applyNumberFormat="1" applyFont="1" applyBorder="1"/>
    <xf numFmtId="0" fontId="48" fillId="0" borderId="10" xfId="0" applyFont="1" applyBorder="1" applyAlignment="1">
      <alignment vertical="center" wrapText="1"/>
    </xf>
    <xf numFmtId="171" fontId="48" fillId="26" borderId="10" xfId="63" applyNumberFormat="1" applyFont="1" applyFill="1" applyBorder="1" applyAlignment="1">
      <alignment horizontal="center" vertical="center"/>
    </xf>
    <xf numFmtId="0" fontId="48" fillId="0" borderId="10" xfId="63" applyFont="1" applyBorder="1" applyAlignment="1"/>
    <xf numFmtId="2" fontId="48" fillId="0" borderId="10" xfId="63" applyNumberFormat="1" applyFont="1" applyBorder="1" applyAlignment="1">
      <alignment horizontal="center"/>
    </xf>
    <xf numFmtId="0" fontId="48" fillId="0" borderId="10" xfId="63" applyNumberFormat="1" applyFont="1" applyBorder="1" applyAlignment="1">
      <alignment horizontal="center" vertical="center"/>
    </xf>
    <xf numFmtId="0" fontId="48" fillId="0" borderId="10" xfId="0" applyFont="1" applyBorder="1" applyAlignment="1">
      <alignment horizontal="left" vertical="center" wrapText="1"/>
    </xf>
    <xf numFmtId="0" fontId="48" fillId="0" borderId="10" xfId="0" quotePrefix="1" applyNumberFormat="1" applyFont="1" applyBorder="1" applyAlignment="1">
      <alignment horizontal="center" vertical="center"/>
    </xf>
    <xf numFmtId="0" fontId="48" fillId="0" borderId="10" xfId="63" quotePrefix="1" applyNumberFormat="1" applyFont="1" applyBorder="1" applyAlignment="1">
      <alignment horizontal="center" vertical="center"/>
    </xf>
    <xf numFmtId="0" fontId="48" fillId="0" borderId="10" xfId="0" applyFont="1" applyBorder="1" applyAlignment="1">
      <alignment horizontal="left" vertical="center"/>
    </xf>
    <xf numFmtId="0" fontId="48" fillId="0" borderId="10" xfId="0" applyFont="1" applyBorder="1" applyAlignment="1">
      <alignment horizontal="left" wrapText="1"/>
    </xf>
    <xf numFmtId="171" fontId="48" fillId="0" borderId="10" xfId="63" applyNumberFormat="1" applyFont="1" applyBorder="1" applyAlignment="1">
      <alignment horizontal="center" vertical="center"/>
    </xf>
    <xf numFmtId="0" fontId="48" fillId="0" borderId="10" xfId="63" applyFont="1" applyBorder="1" applyAlignment="1">
      <alignment horizontal="left" vertical="center" wrapText="1"/>
    </xf>
    <xf numFmtId="0" fontId="48" fillId="0" borderId="10" xfId="63" quotePrefix="1" applyFont="1" applyBorder="1" applyAlignment="1">
      <alignment horizontal="center" vertical="center"/>
    </xf>
    <xf numFmtId="0" fontId="48" fillId="0" borderId="10" xfId="63" applyFont="1" applyBorder="1" applyAlignment="1">
      <alignment horizontal="center" vertical="center"/>
    </xf>
    <xf numFmtId="172" fontId="48" fillId="0" borderId="10" xfId="63" quotePrefix="1" applyNumberFormat="1" applyFont="1" applyBorder="1" applyAlignment="1">
      <alignment horizontal="center" vertical="center"/>
    </xf>
    <xf numFmtId="0" fontId="48" fillId="0" borderId="10" xfId="0" applyFont="1" applyBorder="1"/>
    <xf numFmtId="0" fontId="48" fillId="0" borderId="10" xfId="0" applyFont="1" applyBorder="1" applyAlignment="1">
      <alignment horizontal="center" vertical="center"/>
    </xf>
    <xf numFmtId="0" fontId="48" fillId="0" borderId="10" xfId="63" applyFont="1" applyBorder="1" applyAlignment="1">
      <alignment horizontal="center"/>
    </xf>
    <xf numFmtId="0" fontId="48" fillId="0" borderId="10" xfId="0" applyFont="1" applyBorder="1" applyAlignment="1"/>
    <xf numFmtId="49" fontId="48" fillId="0" borderId="10" xfId="0" applyNumberFormat="1" applyFont="1" applyBorder="1" applyAlignment="1">
      <alignment horizontal="center" vertical="center"/>
    </xf>
    <xf numFmtId="0" fontId="48" fillId="0" borderId="10" xfId="0" applyFont="1" applyBorder="1" applyAlignment="1">
      <alignment wrapText="1"/>
    </xf>
    <xf numFmtId="0" fontId="49" fillId="0" borderId="10" xfId="0" applyFont="1" applyBorder="1" applyAlignment="1">
      <alignment vertical="center" wrapText="1"/>
    </xf>
    <xf numFmtId="0" fontId="49" fillId="0" borderId="10" xfId="0" applyFont="1" applyBorder="1" applyAlignment="1">
      <alignment vertical="center"/>
    </xf>
    <xf numFmtId="0" fontId="49" fillId="0" borderId="10" xfId="83" applyFont="1" applyBorder="1" applyAlignment="1">
      <alignment vertical="center"/>
    </xf>
    <xf numFmtId="49" fontId="48" fillId="0" borderId="10" xfId="83" applyNumberFormat="1" applyFont="1" applyBorder="1" applyAlignment="1">
      <alignment horizontal="center" vertical="center"/>
    </xf>
    <xf numFmtId="0" fontId="49" fillId="0" borderId="10" xfId="0" applyFont="1" applyBorder="1" applyAlignment="1">
      <alignment horizontal="left" vertical="center" wrapText="1"/>
    </xf>
    <xf numFmtId="0" fontId="48" fillId="0" borderId="10" xfId="0" quotePrefix="1" applyFont="1" applyBorder="1" applyAlignment="1">
      <alignment horizontal="center" vertical="center"/>
    </xf>
    <xf numFmtId="0" fontId="50" fillId="0" borderId="10" xfId="0" applyFont="1" applyBorder="1" applyAlignment="1">
      <alignment horizontal="center" vertical="center"/>
    </xf>
    <xf numFmtId="0" fontId="40" fillId="0" borderId="10" xfId="63" applyFont="1" applyBorder="1" applyAlignment="1">
      <alignment horizontal="right"/>
    </xf>
    <xf numFmtId="49" fontId="48" fillId="0" borderId="10" xfId="63" applyNumberFormat="1" applyFont="1" applyBorder="1" applyAlignment="1">
      <alignment horizontal="center"/>
    </xf>
    <xf numFmtId="0" fontId="48" fillId="0" borderId="10" xfId="63" applyFont="1" applyBorder="1" applyAlignment="1">
      <alignment horizontal="left"/>
    </xf>
    <xf numFmtId="172" fontId="48" fillId="0" borderId="10" xfId="63" applyNumberFormat="1" applyFont="1" applyBorder="1" applyAlignment="1">
      <alignment horizontal="center"/>
    </xf>
    <xf numFmtId="0" fontId="48" fillId="0" borderId="23" xfId="63" applyFont="1" applyBorder="1"/>
    <xf numFmtId="0" fontId="48" fillId="0" borderId="3" xfId="63" applyFont="1" applyBorder="1"/>
    <xf numFmtId="2" fontId="48" fillId="26" borderId="2" xfId="0" applyNumberFormat="1" applyFont="1" applyFill="1" applyBorder="1" applyAlignment="1">
      <alignment vertical="center"/>
    </xf>
    <xf numFmtId="2" fontId="40" fillId="26" borderId="0" xfId="0" applyNumberFormat="1" applyFont="1" applyFill="1" applyBorder="1" applyAlignment="1">
      <alignment vertical="center"/>
    </xf>
    <xf numFmtId="4" fontId="50" fillId="26" borderId="0" xfId="0" applyNumberFormat="1" applyFont="1" applyFill="1" applyBorder="1" applyAlignment="1">
      <alignment vertical="center"/>
    </xf>
    <xf numFmtId="0" fontId="48" fillId="0" borderId="2" xfId="63" applyFont="1" applyBorder="1"/>
    <xf numFmtId="0" fontId="48" fillId="0" borderId="0" xfId="63" applyFont="1" applyBorder="1"/>
    <xf numFmtId="4" fontId="9" fillId="26" borderId="3" xfId="63" applyNumberFormat="1" applyFont="1" applyFill="1" applyBorder="1" applyAlignment="1">
      <alignment horizontal="center" vertical="center"/>
    </xf>
    <xf numFmtId="4" fontId="8" fillId="26" borderId="5" xfId="63" applyNumberFormat="1" applyFill="1" applyBorder="1" applyAlignment="1">
      <alignment horizontal="center" vertical="center"/>
    </xf>
    <xf numFmtId="4" fontId="8" fillId="2" borderId="3" xfId="63" applyNumberFormat="1" applyFont="1" applyFill="1" applyBorder="1" applyAlignment="1">
      <alignment horizontal="center" vertical="center"/>
    </xf>
    <xf numFmtId="0" fontId="8" fillId="2" borderId="24" xfId="63" applyFont="1" applyFill="1" applyBorder="1" applyAlignment="1">
      <alignment horizontal="center" vertical="center"/>
    </xf>
    <xf numFmtId="4" fontId="31" fillId="28" borderId="10" xfId="63" applyNumberFormat="1" applyFont="1" applyFill="1" applyBorder="1" applyAlignment="1">
      <alignment horizontal="center" vertical="center"/>
    </xf>
    <xf numFmtId="164" fontId="30" fillId="28" borderId="10" xfId="1" applyFont="1" applyFill="1" applyBorder="1" applyAlignment="1">
      <alignment horizontal="center" vertical="center"/>
    </xf>
    <xf numFmtId="164" fontId="31" fillId="28" borderId="10" xfId="1" applyFont="1" applyFill="1" applyBorder="1" applyAlignment="1">
      <alignment horizontal="center" vertical="center"/>
    </xf>
    <xf numFmtId="4" fontId="31" fillId="28" borderId="10" xfId="1" applyNumberFormat="1" applyFont="1" applyFill="1" applyBorder="1" applyAlignment="1">
      <alignment horizontal="right" vertical="center"/>
    </xf>
    <xf numFmtId="4" fontId="34" fillId="0" borderId="10" xfId="63" applyNumberFormat="1" applyFont="1" applyFill="1" applyBorder="1" applyAlignment="1">
      <alignment horizontal="center" vertical="center"/>
    </xf>
    <xf numFmtId="4" fontId="34" fillId="0" borderId="10" xfId="63" applyNumberFormat="1" applyFont="1" applyFill="1" applyBorder="1" applyAlignment="1">
      <alignment horizontal="left" vertical="center" wrapText="1"/>
    </xf>
    <xf numFmtId="10" fontId="34" fillId="0" borderId="6" xfId="63" applyNumberFormat="1" applyFont="1" applyFill="1" applyBorder="1" applyAlignment="1">
      <alignment horizontal="center" vertical="center" wrapText="1"/>
    </xf>
    <xf numFmtId="10" fontId="34" fillId="0" borderId="9" xfId="63" applyNumberFormat="1" applyFont="1" applyFill="1" applyBorder="1" applyAlignment="1">
      <alignment horizontal="center" vertical="center" wrapText="1"/>
    </xf>
    <xf numFmtId="164" fontId="34" fillId="0" borderId="10" xfId="1" applyFont="1" applyFill="1" applyBorder="1" applyAlignment="1">
      <alignment horizontal="center" vertical="center" wrapText="1"/>
    </xf>
    <xf numFmtId="4" fontId="34" fillId="0" borderId="6" xfId="63" quotePrefix="1" applyNumberFormat="1" applyFont="1" applyFill="1" applyBorder="1" applyAlignment="1">
      <alignment horizontal="center" vertical="center"/>
    </xf>
    <xf numFmtId="4" fontId="34" fillId="0" borderId="9" xfId="63" applyNumberFormat="1" applyFont="1" applyFill="1" applyBorder="1" applyAlignment="1">
      <alignment horizontal="center" vertical="center"/>
    </xf>
    <xf numFmtId="4" fontId="39" fillId="26" borderId="1" xfId="63" applyNumberFormat="1" applyFont="1" applyFill="1" applyBorder="1" applyAlignment="1">
      <alignment horizontal="center" vertical="center"/>
    </xf>
    <xf numFmtId="4" fontId="39" fillId="26" borderId="25" xfId="63" applyNumberFormat="1" applyFont="1" applyFill="1" applyBorder="1" applyAlignment="1">
      <alignment horizontal="center" vertical="center"/>
    </xf>
    <xf numFmtId="4" fontId="39" fillId="26" borderId="23" xfId="63" applyNumberFormat="1" applyFont="1" applyFill="1" applyBorder="1" applyAlignment="1">
      <alignment horizontal="center" vertical="center"/>
    </xf>
    <xf numFmtId="4" fontId="9" fillId="26" borderId="2" xfId="63" applyNumberFormat="1" applyFont="1" applyFill="1" applyBorder="1" applyAlignment="1">
      <alignment horizontal="left" vertical="center"/>
    </xf>
    <xf numFmtId="4" fontId="9" fillId="26" borderId="0" xfId="63" applyNumberFormat="1" applyFont="1" applyFill="1" applyBorder="1" applyAlignment="1">
      <alignment horizontal="left" vertical="center"/>
    </xf>
    <xf numFmtId="4" fontId="9" fillId="26" borderId="2" xfId="63" applyNumberFormat="1" applyFont="1" applyFill="1" applyBorder="1" applyAlignment="1">
      <alignment horizontal="center" vertical="center"/>
    </xf>
    <xf numFmtId="4" fontId="9" fillId="26" borderId="4" xfId="63" applyNumberFormat="1" applyFont="1" applyFill="1" applyBorder="1" applyAlignment="1">
      <alignment horizontal="center" vertical="center"/>
    </xf>
    <xf numFmtId="4" fontId="31" fillId="3" borderId="9" xfId="63" applyNumberFormat="1" applyFont="1" applyFill="1" applyBorder="1" applyAlignment="1">
      <alignment horizontal="center" vertical="center"/>
    </xf>
    <xf numFmtId="4" fontId="31" fillId="3" borderId="10" xfId="63" applyNumberFormat="1" applyFont="1" applyFill="1" applyBorder="1" applyAlignment="1">
      <alignment horizontal="center" vertical="center"/>
    </xf>
    <xf numFmtId="4" fontId="31" fillId="3" borderId="22" xfId="63" applyNumberFormat="1" applyFont="1" applyFill="1" applyBorder="1" applyAlignment="1">
      <alignment horizontal="center" vertical="center"/>
    </xf>
    <xf numFmtId="4" fontId="31" fillId="3" borderId="9" xfId="1" applyNumberFormat="1" applyFont="1" applyFill="1" applyBorder="1" applyAlignment="1">
      <alignment horizontal="center" vertical="center"/>
    </xf>
    <xf numFmtId="4" fontId="31" fillId="3" borderId="10" xfId="1" applyNumberFormat="1" applyFont="1" applyFill="1" applyBorder="1" applyAlignment="1">
      <alignment horizontal="center" vertical="center"/>
    </xf>
    <xf numFmtId="0" fontId="34" fillId="0" borderId="6" xfId="63" applyNumberFormat="1" applyFont="1" applyFill="1" applyBorder="1" applyAlignment="1">
      <alignment horizontal="center" vertical="center"/>
    </xf>
    <xf numFmtId="0" fontId="34" fillId="0" borderId="9" xfId="63" applyNumberFormat="1" applyFont="1" applyFill="1" applyBorder="1" applyAlignment="1">
      <alignment horizontal="center" vertical="center"/>
    </xf>
    <xf numFmtId="4" fontId="34" fillId="0" borderId="6" xfId="63" applyNumberFormat="1" applyFont="1" applyFill="1" applyBorder="1" applyAlignment="1">
      <alignment horizontal="left" vertical="center" wrapText="1"/>
    </xf>
    <xf numFmtId="4" fontId="34" fillId="0" borderId="9" xfId="63" applyNumberFormat="1" applyFont="1" applyFill="1" applyBorder="1" applyAlignment="1">
      <alignment horizontal="left" vertical="center" wrapText="1"/>
    </xf>
    <xf numFmtId="164" fontId="34" fillId="0" borderId="6" xfId="1" applyFont="1" applyFill="1" applyBorder="1" applyAlignment="1">
      <alignment horizontal="center" vertical="center" wrapText="1"/>
    </xf>
    <xf numFmtId="164" fontId="34" fillId="0" borderId="9" xfId="1" applyFont="1" applyFill="1" applyBorder="1" applyAlignment="1">
      <alignment horizontal="center" vertical="center" wrapText="1"/>
    </xf>
    <xf numFmtId="4" fontId="8" fillId="0" borderId="2" xfId="63" applyNumberFormat="1" applyBorder="1" applyAlignment="1">
      <alignment horizontal="center" vertical="center"/>
    </xf>
    <xf numFmtId="4" fontId="8" fillId="0" borderId="0" xfId="63" applyNumberFormat="1" applyBorder="1" applyAlignment="1">
      <alignment horizontal="center" vertical="center"/>
    </xf>
    <xf numFmtId="4" fontId="8" fillId="0" borderId="3" xfId="63" applyNumberFormat="1" applyBorder="1" applyAlignment="1">
      <alignment horizontal="center" vertical="center"/>
    </xf>
    <xf numFmtId="4" fontId="8" fillId="26" borderId="2" xfId="63" applyNumberFormat="1" applyFill="1" applyBorder="1" applyAlignment="1">
      <alignment horizontal="center" vertical="center"/>
    </xf>
    <xf numFmtId="4" fontId="8" fillId="26" borderId="0" xfId="63" applyNumberFormat="1" applyFill="1" applyBorder="1" applyAlignment="1">
      <alignment horizontal="center" vertical="center"/>
    </xf>
    <xf numFmtId="4" fontId="8" fillId="26" borderId="3" xfId="63" applyNumberFormat="1" applyFill="1" applyBorder="1" applyAlignment="1">
      <alignment horizontal="center" vertical="center"/>
    </xf>
    <xf numFmtId="0" fontId="9" fillId="28" borderId="7" xfId="0" applyFont="1" applyFill="1" applyBorder="1" applyAlignment="1">
      <alignment horizontal="center" vertical="center"/>
    </xf>
    <xf numFmtId="0" fontId="9" fillId="28" borderId="8" xfId="0" applyFont="1" applyFill="1" applyBorder="1" applyAlignment="1">
      <alignment horizontal="center" vertical="center"/>
    </xf>
    <xf numFmtId="0" fontId="9" fillId="28" borderId="11" xfId="0" applyFont="1" applyFill="1" applyBorder="1" applyAlignment="1">
      <alignment horizontal="center" vertical="center"/>
    </xf>
    <xf numFmtId="0" fontId="8" fillId="28" borderId="7" xfId="0" applyFont="1" applyFill="1" applyBorder="1" applyAlignment="1">
      <alignment horizontal="center" vertical="center"/>
    </xf>
    <xf numFmtId="0" fontId="8" fillId="28" borderId="8" xfId="0" applyFont="1" applyFill="1" applyBorder="1" applyAlignment="1">
      <alignment horizontal="center" vertical="center"/>
    </xf>
    <xf numFmtId="0" fontId="8" fillId="28" borderId="11" xfId="0" applyFont="1" applyFill="1" applyBorder="1" applyAlignment="1">
      <alignment horizontal="center" vertical="center"/>
    </xf>
    <xf numFmtId="164" fontId="9" fillId="26" borderId="0" xfId="1" applyFont="1" applyFill="1" applyBorder="1" applyAlignment="1">
      <alignment horizontal="center" vertical="center"/>
    </xf>
    <xf numFmtId="0" fontId="39" fillId="26" borderId="0" xfId="0" applyFont="1" applyFill="1" applyBorder="1" applyAlignment="1">
      <alignment horizontal="center" vertical="center"/>
    </xf>
    <xf numFmtId="2" fontId="9" fillId="26" borderId="0" xfId="0" applyNumberFormat="1" applyFont="1" applyFill="1" applyBorder="1" applyAlignment="1">
      <alignment horizontal="center" vertical="center"/>
    </xf>
    <xf numFmtId="2" fontId="9" fillId="26" borderId="5" xfId="0" applyNumberFormat="1" applyFont="1" applyFill="1" applyBorder="1" applyAlignment="1">
      <alignment horizontal="center" vertical="center"/>
    </xf>
    <xf numFmtId="4" fontId="37" fillId="26" borderId="0" xfId="0" applyNumberFormat="1" applyFont="1" applyFill="1" applyBorder="1" applyAlignment="1">
      <alignment horizontal="center" vertical="center"/>
    </xf>
    <xf numFmtId="0" fontId="9" fillId="26" borderId="0" xfId="0" applyFont="1" applyFill="1" applyBorder="1" applyAlignment="1">
      <alignment horizontal="left" vertical="center"/>
    </xf>
    <xf numFmtId="2" fontId="8" fillId="26" borderId="0" xfId="0" applyNumberFormat="1" applyFont="1" applyFill="1" applyBorder="1" applyAlignment="1">
      <alignment horizontal="left" vertical="center"/>
    </xf>
    <xf numFmtId="2" fontId="8" fillId="26" borderId="5" xfId="0" applyNumberFormat="1" applyFont="1" applyFill="1" applyBorder="1" applyAlignment="1">
      <alignment horizontal="left" vertical="center"/>
    </xf>
    <xf numFmtId="4" fontId="37" fillId="26" borderId="5" xfId="0" applyNumberFormat="1" applyFont="1" applyFill="1" applyBorder="1" applyAlignment="1">
      <alignment horizontal="left" vertical="center"/>
    </xf>
    <xf numFmtId="44" fontId="37" fillId="26" borderId="0" xfId="82" applyFont="1" applyFill="1" applyBorder="1" applyAlignment="1">
      <alignment horizontal="center" vertical="center"/>
    </xf>
    <xf numFmtId="44" fontId="9" fillId="26" borderId="0" xfId="82" applyFont="1" applyFill="1" applyBorder="1" applyAlignment="1">
      <alignment horizontal="center" vertical="center"/>
    </xf>
    <xf numFmtId="0" fontId="9" fillId="0" borderId="0" xfId="0" applyFont="1" applyFill="1" applyBorder="1" applyAlignment="1">
      <alignment horizontal="center" vertical="center"/>
    </xf>
    <xf numFmtId="0" fontId="9" fillId="27" borderId="10" xfId="0" applyFont="1" applyFill="1" applyBorder="1" applyAlignment="1">
      <alignment horizontal="center" vertical="center"/>
    </xf>
    <xf numFmtId="0" fontId="9" fillId="27" borderId="10" xfId="0" applyFont="1" applyFill="1" applyBorder="1" applyAlignment="1">
      <alignment horizontal="center" vertical="center" wrapText="1"/>
    </xf>
    <xf numFmtId="0" fontId="35" fillId="27" borderId="10" xfId="0" applyFont="1" applyFill="1" applyBorder="1" applyAlignment="1">
      <alignment horizontal="center" vertical="center"/>
    </xf>
    <xf numFmtId="0" fontId="9" fillId="28"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26"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9" fillId="28" borderId="10" xfId="0" applyFont="1" applyFill="1" applyBorder="1" applyAlignment="1">
      <alignment horizontal="center" vertical="center"/>
    </xf>
    <xf numFmtId="0" fontId="8" fillId="28" borderId="10" xfId="0" applyFont="1" applyFill="1" applyBorder="1" applyAlignment="1">
      <alignment horizontal="center" vertical="center"/>
    </xf>
    <xf numFmtId="49" fontId="8" fillId="26" borderId="7" xfId="0" applyNumberFormat="1" applyFont="1" applyFill="1" applyBorder="1" applyAlignment="1">
      <alignment horizontal="center" vertical="center"/>
    </xf>
    <xf numFmtId="49" fontId="8" fillId="26" borderId="8" xfId="0" applyNumberFormat="1" applyFont="1" applyFill="1" applyBorder="1" applyAlignment="1">
      <alignment horizontal="center" vertical="center"/>
    </xf>
    <xf numFmtId="49" fontId="8" fillId="26" borderId="1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8" fillId="26" borderId="7" xfId="0" applyFont="1" applyFill="1" applyBorder="1" applyAlignment="1">
      <alignment horizontal="center" vertical="center"/>
    </xf>
    <xf numFmtId="0" fontId="8" fillId="26" borderId="8" xfId="0" applyFont="1" applyFill="1" applyBorder="1" applyAlignment="1">
      <alignment horizontal="center" vertical="center"/>
    </xf>
    <xf numFmtId="0" fontId="8" fillId="26"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Border="1" applyAlignment="1">
      <alignment horizontal="center" vertical="center"/>
    </xf>
    <xf numFmtId="0" fontId="8" fillId="0" borderId="7"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7" xfId="0" quotePrefix="1" applyFont="1" applyBorder="1" applyAlignment="1">
      <alignment horizontal="center" vertical="center"/>
    </xf>
    <xf numFmtId="0" fontId="9" fillId="0" borderId="8" xfId="0" quotePrefix="1" applyFont="1" applyBorder="1" applyAlignment="1">
      <alignment horizontal="center" vertical="center"/>
    </xf>
    <xf numFmtId="4" fontId="9" fillId="26" borderId="2" xfId="0" applyNumberFormat="1" applyFont="1" applyFill="1" applyBorder="1" applyAlignment="1">
      <alignment horizontal="left" vertical="center" wrapText="1"/>
    </xf>
    <xf numFmtId="4" fontId="9" fillId="26" borderId="0" xfId="0" applyNumberFormat="1" applyFont="1" applyFill="1" applyBorder="1" applyAlignment="1">
      <alignment horizontal="left" vertical="center" wrapText="1"/>
    </xf>
    <xf numFmtId="4" fontId="9" fillId="26" borderId="3" xfId="0" applyNumberFormat="1" applyFont="1" applyFill="1" applyBorder="1" applyAlignment="1">
      <alignment horizontal="left" vertical="center" wrapText="1"/>
    </xf>
    <xf numFmtId="4" fontId="9" fillId="26" borderId="2" xfId="0" applyNumberFormat="1" applyFont="1" applyFill="1" applyBorder="1" applyAlignment="1">
      <alignment horizontal="left" vertical="center"/>
    </xf>
    <xf numFmtId="4" fontId="9" fillId="26" borderId="0" xfId="0" applyNumberFormat="1" applyFont="1" applyFill="1" applyBorder="1" applyAlignment="1">
      <alignment horizontal="left" vertical="center"/>
    </xf>
    <xf numFmtId="4" fontId="9" fillId="26" borderId="3" xfId="0" applyNumberFormat="1" applyFont="1" applyFill="1" applyBorder="1" applyAlignment="1">
      <alignment horizontal="left" vertical="center"/>
    </xf>
    <xf numFmtId="4" fontId="30" fillId="26" borderId="2" xfId="0" applyNumberFormat="1" applyFont="1" applyFill="1" applyBorder="1" applyAlignment="1">
      <alignment horizontal="left" vertical="center" wrapText="1"/>
    </xf>
    <xf numFmtId="4" fontId="30" fillId="26" borderId="0" xfId="0" applyNumberFormat="1" applyFont="1" applyFill="1" applyBorder="1" applyAlignment="1">
      <alignment horizontal="left" vertical="center" wrapText="1"/>
    </xf>
    <xf numFmtId="4" fontId="30" fillId="26" borderId="3" xfId="0" applyNumberFormat="1" applyFont="1" applyFill="1" applyBorder="1" applyAlignment="1">
      <alignment horizontal="left" vertical="center" wrapText="1"/>
    </xf>
    <xf numFmtId="0" fontId="9" fillId="26" borderId="2" xfId="4" applyFont="1" applyFill="1" applyBorder="1" applyAlignment="1">
      <alignment horizontal="left" vertical="top" wrapText="1"/>
    </xf>
    <xf numFmtId="0" fontId="9" fillId="26" borderId="0" xfId="4" applyFont="1" applyFill="1" applyBorder="1" applyAlignment="1">
      <alignment horizontal="left" vertical="top" wrapText="1"/>
    </xf>
    <xf numFmtId="0" fontId="9" fillId="26" borderId="3" xfId="4" applyFont="1" applyFill="1" applyBorder="1" applyAlignment="1">
      <alignment horizontal="left" vertical="top" wrapText="1"/>
    </xf>
    <xf numFmtId="4" fontId="9" fillId="26" borderId="2" xfId="4" applyNumberFormat="1" applyFont="1" applyFill="1" applyBorder="1" applyAlignment="1">
      <alignment horizontal="left" vertical="top" wrapText="1"/>
    </xf>
    <xf numFmtId="4" fontId="9" fillId="26" borderId="0" xfId="4" applyNumberFormat="1" applyFont="1" applyFill="1" applyBorder="1" applyAlignment="1">
      <alignment horizontal="left" vertical="top" wrapText="1"/>
    </xf>
    <xf numFmtId="4" fontId="9" fillId="26" borderId="3" xfId="4" applyNumberFormat="1" applyFont="1" applyFill="1" applyBorder="1" applyAlignment="1">
      <alignment horizontal="left" vertical="top" wrapText="1"/>
    </xf>
    <xf numFmtId="0" fontId="9" fillId="26" borderId="2" xfId="4" applyFont="1" applyFill="1" applyBorder="1" applyAlignment="1">
      <alignment horizontal="left" vertical="center" wrapText="1"/>
    </xf>
    <xf numFmtId="0" fontId="9" fillId="26" borderId="0" xfId="4" applyFont="1" applyFill="1" applyBorder="1" applyAlignment="1">
      <alignment horizontal="left" vertical="center" wrapText="1"/>
    </xf>
    <xf numFmtId="0" fontId="9" fillId="26" borderId="3" xfId="4" applyFont="1" applyFill="1" applyBorder="1" applyAlignment="1">
      <alignment horizontal="left" vertical="center" wrapText="1"/>
    </xf>
    <xf numFmtId="0" fontId="39" fillId="26" borderId="2" xfId="0" applyFont="1" applyFill="1" applyBorder="1" applyAlignment="1">
      <alignment horizontal="center" vertical="center"/>
    </xf>
    <xf numFmtId="0" fontId="39" fillId="26" borderId="3" xfId="0" applyFont="1" applyFill="1" applyBorder="1" applyAlignment="1">
      <alignment horizontal="center" vertical="center"/>
    </xf>
    <xf numFmtId="0" fontId="9" fillId="26" borderId="2" xfId="0" applyFont="1" applyFill="1" applyBorder="1" applyAlignment="1">
      <alignment horizontal="left" vertical="center"/>
    </xf>
    <xf numFmtId="4" fontId="8" fillId="26" borderId="0" xfId="0" applyNumberFormat="1" applyFont="1" applyFill="1" applyBorder="1" applyAlignment="1">
      <alignment horizontal="right"/>
    </xf>
    <xf numFmtId="4" fontId="8" fillId="26" borderId="3" xfId="0" applyNumberFormat="1" applyFont="1" applyFill="1" applyBorder="1" applyAlignment="1">
      <alignment horizontal="right"/>
    </xf>
    <xf numFmtId="0" fontId="9" fillId="26" borderId="2" xfId="0" applyFont="1" applyFill="1" applyBorder="1" applyAlignment="1">
      <alignment horizontal="left" vertical="top" wrapText="1"/>
    </xf>
    <xf numFmtId="0" fontId="9" fillId="26" borderId="0" xfId="0" applyFont="1" applyFill="1" applyBorder="1" applyAlignment="1">
      <alignment horizontal="left" vertical="top" wrapText="1"/>
    </xf>
    <xf numFmtId="0" fontId="9" fillId="26" borderId="4" xfId="0" applyFont="1" applyFill="1" applyBorder="1" applyAlignment="1">
      <alignment horizontal="left" vertical="top" wrapText="1"/>
    </xf>
    <xf numFmtId="0" fontId="9" fillId="26" borderId="5" xfId="0" applyFont="1" applyFill="1" applyBorder="1" applyAlignment="1">
      <alignment horizontal="left" vertical="top" wrapText="1"/>
    </xf>
    <xf numFmtId="3" fontId="9" fillId="27" borderId="6" xfId="4" applyNumberFormat="1" applyFont="1" applyFill="1" applyBorder="1" applyAlignment="1">
      <alignment horizontal="center" vertical="center"/>
    </xf>
    <xf numFmtId="3" fontId="9" fillId="27" borderId="9" xfId="4" applyNumberFormat="1" applyFont="1" applyFill="1" applyBorder="1" applyAlignment="1">
      <alignment horizontal="center" vertical="center"/>
    </xf>
    <xf numFmtId="0" fontId="9" fillId="27" borderId="6" xfId="4" applyFont="1" applyFill="1" applyBorder="1" applyAlignment="1">
      <alignment horizontal="center" vertical="center" wrapText="1"/>
    </xf>
    <xf numFmtId="0" fontId="9" fillId="27" borderId="9" xfId="4" applyFont="1" applyFill="1" applyBorder="1" applyAlignment="1">
      <alignment horizontal="center" vertical="center" wrapText="1"/>
    </xf>
    <xf numFmtId="4" fontId="35" fillId="27" borderId="6" xfId="1" applyNumberFormat="1" applyFont="1" applyFill="1" applyBorder="1" applyAlignment="1">
      <alignment horizontal="center" vertical="center"/>
    </xf>
    <xf numFmtId="4" fontId="35" fillId="27" borderId="9" xfId="1" applyNumberFormat="1" applyFont="1" applyFill="1" applyBorder="1" applyAlignment="1">
      <alignment horizontal="center" vertical="center"/>
    </xf>
    <xf numFmtId="4" fontId="35" fillId="27" borderId="6" xfId="1" applyNumberFormat="1" applyFont="1" applyFill="1" applyBorder="1" applyAlignment="1">
      <alignment horizontal="center" vertical="center" wrapText="1"/>
    </xf>
    <xf numFmtId="4" fontId="35" fillId="27" borderId="9" xfId="1" applyNumberFormat="1" applyFont="1" applyFill="1" applyBorder="1" applyAlignment="1">
      <alignment horizontal="center" vertical="center" wrapText="1"/>
    </xf>
    <xf numFmtId="4" fontId="35" fillId="27" borderId="6" xfId="4" applyNumberFormat="1" applyFont="1" applyFill="1" applyBorder="1" applyAlignment="1">
      <alignment horizontal="center" vertical="center"/>
    </xf>
    <xf numFmtId="4" fontId="35" fillId="27" borderId="9" xfId="4" applyNumberFormat="1" applyFont="1" applyFill="1" applyBorder="1" applyAlignment="1">
      <alignment horizontal="center" vertical="center"/>
    </xf>
    <xf numFmtId="0" fontId="31" fillId="28" borderId="10" xfId="63" applyFont="1" applyFill="1" applyBorder="1" applyAlignment="1">
      <alignment horizontal="center" vertical="center"/>
    </xf>
    <xf numFmtId="169" fontId="31" fillId="28" borderId="10" xfId="1" applyNumberFormat="1" applyFont="1" applyFill="1" applyBorder="1" applyAlignment="1">
      <alignment horizontal="center" vertical="center"/>
    </xf>
    <xf numFmtId="2" fontId="31" fillId="0" borderId="20" xfId="63" applyNumberFormat="1" applyFont="1" applyBorder="1" applyAlignment="1">
      <alignment horizontal="center" vertical="center"/>
    </xf>
    <xf numFmtId="2" fontId="31" fillId="0" borderId="21" xfId="63" applyNumberFormat="1" applyFont="1" applyBorder="1" applyAlignment="1">
      <alignment horizontal="center" vertical="center"/>
    </xf>
    <xf numFmtId="4" fontId="31" fillId="0" borderId="20" xfId="63" applyNumberFormat="1" applyFont="1" applyBorder="1" applyAlignment="1">
      <alignment horizontal="center" vertical="center" wrapText="1"/>
    </xf>
    <xf numFmtId="0" fontId="31" fillId="0" borderId="21" xfId="63" applyFont="1" applyBorder="1" applyAlignment="1">
      <alignment horizontal="center" vertical="center" wrapText="1"/>
    </xf>
    <xf numFmtId="4" fontId="34" fillId="0" borderId="20" xfId="1" applyNumberFormat="1" applyFont="1" applyBorder="1" applyAlignment="1">
      <alignment horizontal="center" vertical="center"/>
    </xf>
    <xf numFmtId="4" fontId="34" fillId="0" borderId="21" xfId="1" applyNumberFormat="1" applyFont="1" applyBorder="1" applyAlignment="1">
      <alignment horizontal="center" vertical="center"/>
    </xf>
    <xf numFmtId="2" fontId="31" fillId="0" borderId="20" xfId="63" quotePrefix="1" applyNumberFormat="1" applyFont="1" applyBorder="1" applyAlignment="1">
      <alignment horizontal="center" vertical="center"/>
    </xf>
    <xf numFmtId="0" fontId="31" fillId="0" borderId="6" xfId="63" applyFont="1" applyBorder="1" applyAlignment="1">
      <alignment horizontal="center" vertical="center" wrapText="1"/>
    </xf>
    <xf numFmtId="0" fontId="31" fillId="0" borderId="9" xfId="63" applyFont="1" applyBorder="1" applyAlignment="1">
      <alignment horizontal="center" vertical="center" wrapText="1"/>
    </xf>
    <xf numFmtId="0" fontId="31" fillId="3" borderId="10" xfId="63" applyFont="1" applyFill="1" applyBorder="1" applyAlignment="1">
      <alignment horizontal="center" vertical="center"/>
    </xf>
    <xf numFmtId="164" fontId="31" fillId="3" borderId="10" xfId="1" applyFont="1" applyFill="1" applyBorder="1" applyAlignment="1">
      <alignment horizontal="center" vertical="center"/>
    </xf>
    <xf numFmtId="0" fontId="39" fillId="2" borderId="1" xfId="63" applyFont="1" applyFill="1" applyBorder="1" applyAlignment="1">
      <alignment horizontal="center" vertical="center"/>
    </xf>
    <xf numFmtId="0" fontId="39" fillId="2" borderId="25" xfId="63" applyFont="1" applyFill="1" applyBorder="1" applyAlignment="1">
      <alignment horizontal="center" vertical="center"/>
    </xf>
    <xf numFmtId="0" fontId="39" fillId="2" borderId="23" xfId="63" applyFont="1" applyFill="1" applyBorder="1" applyAlignment="1">
      <alignment horizontal="center" vertical="center"/>
    </xf>
    <xf numFmtId="0" fontId="9" fillId="2" borderId="2" xfId="63" applyFont="1" applyFill="1" applyBorder="1" applyAlignment="1">
      <alignment horizontal="left" vertical="center"/>
    </xf>
    <xf numFmtId="0" fontId="9" fillId="2" borderId="0" xfId="63" applyFont="1" applyFill="1" applyBorder="1" applyAlignment="1">
      <alignment horizontal="left" vertical="center"/>
    </xf>
    <xf numFmtId="165" fontId="8" fillId="2" borderId="0" xfId="63" applyNumberFormat="1" applyFont="1" applyFill="1" applyBorder="1" applyAlignment="1">
      <alignment horizontal="right" vertical="center"/>
    </xf>
    <xf numFmtId="165" fontId="8" fillId="2" borderId="3" xfId="63" applyNumberFormat="1" applyFont="1" applyFill="1" applyBorder="1" applyAlignment="1">
      <alignment horizontal="right" vertical="center"/>
    </xf>
    <xf numFmtId="0" fontId="9" fillId="2" borderId="4" xfId="63" applyFont="1" applyFill="1" applyBorder="1" applyAlignment="1">
      <alignment horizontal="left" vertical="center" wrapText="1"/>
    </xf>
    <xf numFmtId="0" fontId="9" fillId="2" borderId="5" xfId="63" applyFont="1" applyFill="1" applyBorder="1" applyAlignment="1">
      <alignment horizontal="left" vertical="center" wrapText="1"/>
    </xf>
    <xf numFmtId="2" fontId="31" fillId="0" borderId="6" xfId="63" quotePrefix="1" applyNumberFormat="1" applyFont="1" applyBorder="1" applyAlignment="1">
      <alignment horizontal="center" vertical="center"/>
    </xf>
    <xf numFmtId="2" fontId="31" fillId="0" borderId="9" xfId="63" applyNumberFormat="1" applyFont="1" applyBorder="1" applyAlignment="1">
      <alignment horizontal="center" vertical="center"/>
    </xf>
    <xf numFmtId="2" fontId="31" fillId="0" borderId="10" xfId="63" quotePrefix="1" applyNumberFormat="1" applyFont="1" applyBorder="1" applyAlignment="1">
      <alignment horizontal="center" vertical="center"/>
    </xf>
    <xf numFmtId="2" fontId="31" fillId="0" borderId="10" xfId="63" applyNumberFormat="1" applyFont="1" applyBorder="1" applyAlignment="1">
      <alignment horizontal="center" vertical="center"/>
    </xf>
    <xf numFmtId="4" fontId="34" fillId="0" borderId="6" xfId="1" applyNumberFormat="1" applyFont="1" applyBorder="1" applyAlignment="1">
      <alignment horizontal="center" vertical="center"/>
    </xf>
    <xf numFmtId="4" fontId="34" fillId="0" borderId="9" xfId="1" applyNumberFormat="1" applyFont="1" applyBorder="1" applyAlignment="1">
      <alignment horizontal="center" vertical="center"/>
    </xf>
    <xf numFmtId="4" fontId="34" fillId="0" borderId="6" xfId="1" applyNumberFormat="1" applyFont="1" applyBorder="1" applyAlignment="1">
      <alignment horizontal="center" vertical="center" wrapText="1"/>
    </xf>
    <xf numFmtId="4" fontId="34" fillId="0" borderId="9" xfId="1" applyNumberFormat="1" applyFont="1" applyBorder="1" applyAlignment="1">
      <alignment horizontal="center" vertical="center" wrapText="1"/>
    </xf>
    <xf numFmtId="4" fontId="8" fillId="0" borderId="1" xfId="63" applyNumberFormat="1" applyFont="1" applyBorder="1" applyAlignment="1">
      <alignment horizontal="center" vertical="center"/>
    </xf>
    <xf numFmtId="4" fontId="8" fillId="0" borderId="25" xfId="63" applyNumberFormat="1" applyFont="1" applyBorder="1" applyAlignment="1">
      <alignment horizontal="center" vertical="center"/>
    </xf>
    <xf numFmtId="4" fontId="8" fillId="0" borderId="23" xfId="63" applyNumberFormat="1" applyFont="1" applyBorder="1" applyAlignment="1">
      <alignment horizontal="center" vertical="center"/>
    </xf>
    <xf numFmtId="4" fontId="8" fillId="0" borderId="2" xfId="63" applyNumberFormat="1" applyFont="1" applyBorder="1" applyAlignment="1">
      <alignment horizontal="center" vertical="center"/>
    </xf>
    <xf numFmtId="4" fontId="8" fillId="0" borderId="0" xfId="63" applyNumberFormat="1" applyFont="1" applyBorder="1" applyAlignment="1">
      <alignment horizontal="center" vertical="center"/>
    </xf>
    <xf numFmtId="4" fontId="8" fillId="0" borderId="3" xfId="63" applyNumberFormat="1" applyFont="1" applyBorder="1" applyAlignment="1">
      <alignment horizontal="center" vertical="center"/>
    </xf>
    <xf numFmtId="4" fontId="8" fillId="0" borderId="4" xfId="63" applyNumberFormat="1" applyBorder="1" applyAlignment="1">
      <alignment horizontal="center" vertical="center"/>
    </xf>
    <xf numFmtId="4" fontId="8" fillId="0" borderId="5" xfId="63" applyNumberFormat="1" applyBorder="1" applyAlignment="1">
      <alignment horizontal="center" vertical="center"/>
    </xf>
    <xf numFmtId="4" fontId="8" fillId="0" borderId="24" xfId="63" applyNumberFormat="1" applyBorder="1" applyAlignment="1">
      <alignment horizontal="center" vertical="center"/>
    </xf>
    <xf numFmtId="0" fontId="40" fillId="30" borderId="7" xfId="63" applyFont="1" applyFill="1" applyBorder="1" applyAlignment="1">
      <alignment horizontal="left" vertical="center" wrapText="1"/>
    </xf>
    <xf numFmtId="0" fontId="40" fillId="30" borderId="8" xfId="63" applyFont="1" applyFill="1" applyBorder="1" applyAlignment="1">
      <alignment horizontal="left" vertical="center" wrapText="1"/>
    </xf>
    <xf numFmtId="0" fontId="40" fillId="30" borderId="11" xfId="63" applyFont="1" applyFill="1" applyBorder="1" applyAlignment="1">
      <alignment horizontal="left" vertical="center" wrapText="1"/>
    </xf>
    <xf numFmtId="0" fontId="40" fillId="30" borderId="7" xfId="63" applyFont="1" applyFill="1" applyBorder="1" applyAlignment="1">
      <alignment horizontal="center" vertical="center" wrapText="1"/>
    </xf>
    <xf numFmtId="0" fontId="40" fillId="30" borderId="11" xfId="63" applyFont="1" applyFill="1" applyBorder="1" applyAlignment="1">
      <alignment horizontal="center" vertical="center" wrapText="1"/>
    </xf>
    <xf numFmtId="0" fontId="40" fillId="0" borderId="10" xfId="63" applyFont="1" applyBorder="1" applyAlignment="1">
      <alignment horizontal="right"/>
    </xf>
    <xf numFmtId="0" fontId="40" fillId="0" borderId="10" xfId="63" applyFont="1" applyBorder="1" applyAlignment="1">
      <alignment horizontal="center"/>
    </xf>
    <xf numFmtId="0" fontId="49" fillId="0" borderId="10" xfId="0" applyFont="1" applyBorder="1" applyAlignment="1">
      <alignment horizontal="center" vertical="center"/>
    </xf>
    <xf numFmtId="0" fontId="48" fillId="0" borderId="10" xfId="63" applyFont="1" applyBorder="1" applyAlignment="1">
      <alignment horizontal="left" vertical="top" wrapText="1"/>
    </xf>
    <xf numFmtId="2" fontId="40" fillId="0" borderId="10" xfId="63" applyNumberFormat="1" applyFont="1" applyBorder="1" applyAlignment="1">
      <alignment horizontal="right"/>
    </xf>
    <xf numFmtId="0" fontId="8" fillId="0" borderId="8" xfId="63" applyBorder="1" applyAlignment="1">
      <alignment horizontal="center"/>
    </xf>
    <xf numFmtId="0" fontId="48" fillId="0" borderId="10" xfId="63" applyFont="1" applyBorder="1" applyAlignment="1">
      <alignment horizontal="center"/>
    </xf>
    <xf numFmtId="0" fontId="40" fillId="0" borderId="10" xfId="63" applyFont="1" applyBorder="1" applyAlignment="1"/>
    <xf numFmtId="0" fontId="40" fillId="0" borderId="10" xfId="63" applyFont="1" applyBorder="1" applyAlignment="1">
      <alignment horizontal="left"/>
    </xf>
    <xf numFmtId="0" fontId="48" fillId="0" borderId="10" xfId="0" applyFont="1" applyBorder="1" applyAlignment="1">
      <alignment horizontal="center"/>
    </xf>
    <xf numFmtId="4" fontId="40" fillId="0" borderId="10" xfId="63" applyNumberFormat="1" applyFont="1" applyBorder="1" applyAlignment="1">
      <alignment horizontal="right"/>
    </xf>
    <xf numFmtId="0" fontId="48" fillId="0" borderId="10" xfId="63" applyFont="1" applyBorder="1" applyAlignment="1">
      <alignment horizontal="center" vertical="center"/>
    </xf>
    <xf numFmtId="0" fontId="39" fillId="26" borderId="1" xfId="0" applyFont="1" applyFill="1" applyBorder="1" applyAlignment="1">
      <alignment horizontal="center" vertical="center"/>
    </xf>
    <xf numFmtId="0" fontId="39" fillId="26" borderId="25" xfId="0" applyFont="1" applyFill="1" applyBorder="1" applyAlignment="1">
      <alignment horizontal="center" vertical="center"/>
    </xf>
    <xf numFmtId="0" fontId="40" fillId="26" borderId="2" xfId="0" applyFont="1" applyFill="1" applyBorder="1" applyAlignment="1">
      <alignment horizontal="left" vertical="center"/>
    </xf>
    <xf numFmtId="0" fontId="40" fillId="26" borderId="0" xfId="0" applyFont="1" applyFill="1" applyBorder="1" applyAlignment="1">
      <alignment horizontal="left" vertical="center"/>
    </xf>
    <xf numFmtId="164" fontId="40" fillId="26" borderId="0" xfId="1" applyFont="1" applyFill="1" applyBorder="1" applyAlignment="1">
      <alignment horizontal="center" vertical="center"/>
    </xf>
    <xf numFmtId="2" fontId="40" fillId="26" borderId="2" xfId="0" applyNumberFormat="1" applyFont="1" applyFill="1" applyBorder="1" applyAlignment="1">
      <alignment horizontal="left" vertical="center"/>
    </xf>
    <xf numFmtId="2" fontId="40" fillId="26" borderId="0" xfId="0" applyNumberFormat="1" applyFont="1" applyFill="1" applyBorder="1" applyAlignment="1">
      <alignment horizontal="left" vertical="center"/>
    </xf>
    <xf numFmtId="0" fontId="8" fillId="26" borderId="0" xfId="0" applyFont="1" applyFill="1" applyBorder="1" applyAlignment="1">
      <alignment horizontal="center" vertical="center"/>
    </xf>
    <xf numFmtId="0" fontId="8" fillId="26" borderId="3" xfId="0" applyFont="1" applyFill="1" applyBorder="1" applyAlignment="1">
      <alignment horizontal="center" vertical="center"/>
    </xf>
    <xf numFmtId="0" fontId="8" fillId="0" borderId="10" xfId="63" applyFont="1" applyBorder="1" applyAlignment="1">
      <alignment horizontal="center" vertical="center"/>
    </xf>
    <xf numFmtId="2" fontId="8" fillId="0" borderId="10" xfId="63" applyNumberFormat="1" applyFont="1" applyBorder="1" applyAlignment="1">
      <alignment horizontal="center" vertical="center"/>
    </xf>
    <xf numFmtId="0" fontId="9" fillId="0" borderId="10" xfId="63" applyFont="1" applyBorder="1" applyAlignment="1">
      <alignment horizontal="right"/>
    </xf>
    <xf numFmtId="0" fontId="9" fillId="0" borderId="10" xfId="63" applyFont="1" applyBorder="1" applyAlignment="1">
      <alignment horizontal="center"/>
    </xf>
    <xf numFmtId="0" fontId="8" fillId="0" borderId="10" xfId="63" applyFont="1" applyBorder="1" applyAlignment="1">
      <alignment horizontal="right"/>
    </xf>
    <xf numFmtId="0" fontId="8" fillId="0" borderId="10" xfId="0" applyFont="1" applyBorder="1" applyAlignment="1">
      <alignment horizontal="center"/>
    </xf>
    <xf numFmtId="0" fontId="39" fillId="26" borderId="23" xfId="0" applyFont="1" applyFill="1" applyBorder="1" applyAlignment="1">
      <alignment horizontal="center" vertical="center"/>
    </xf>
    <xf numFmtId="164" fontId="9" fillId="31" borderId="0" xfId="1" applyFont="1" applyFill="1" applyBorder="1" applyAlignment="1">
      <alignment horizontal="center" vertical="center"/>
    </xf>
    <xf numFmtId="164" fontId="9" fillId="26" borderId="3" xfId="1" applyFont="1" applyFill="1" applyBorder="1" applyAlignment="1">
      <alignment horizontal="center" vertical="center"/>
    </xf>
    <xf numFmtId="0" fontId="45" fillId="26" borderId="0" xfId="0" applyFont="1" applyFill="1" applyBorder="1" applyAlignment="1">
      <alignment horizontal="center" vertical="center"/>
    </xf>
    <xf numFmtId="0" fontId="45" fillId="26" borderId="3" xfId="0" applyFont="1" applyFill="1" applyBorder="1" applyAlignment="1">
      <alignment horizontal="center" vertical="center"/>
    </xf>
    <xf numFmtId="0" fontId="9" fillId="30" borderId="7" xfId="0" applyFont="1" applyFill="1" applyBorder="1" applyAlignment="1">
      <alignment horizontal="center" vertical="center"/>
    </xf>
    <xf numFmtId="0" fontId="9" fillId="30" borderId="11" xfId="0" applyFont="1" applyFill="1" applyBorder="1" applyAlignment="1">
      <alignment horizontal="center" vertical="center"/>
    </xf>
    <xf numFmtId="0" fontId="9" fillId="30" borderId="8" xfId="0" applyFont="1" applyFill="1" applyBorder="1" applyAlignment="1">
      <alignment horizontal="center" vertical="center"/>
    </xf>
    <xf numFmtId="0" fontId="9" fillId="30" borderId="7" xfId="0" applyFont="1" applyFill="1" applyBorder="1" applyAlignment="1">
      <alignment horizontal="center"/>
    </xf>
    <xf numFmtId="0" fontId="9" fillId="30" borderId="11" xfId="0" applyFont="1" applyFill="1" applyBorder="1" applyAlignment="1">
      <alignment horizontal="center"/>
    </xf>
    <xf numFmtId="0" fontId="9" fillId="30" borderId="8" xfId="0" applyFont="1" applyFill="1" applyBorder="1" applyAlignment="1">
      <alignment horizontal="center"/>
    </xf>
    <xf numFmtId="0" fontId="9" fillId="30" borderId="8" xfId="63" applyFont="1" applyFill="1" applyBorder="1" applyAlignment="1">
      <alignment horizontal="center" vertical="center" wrapText="1"/>
    </xf>
    <xf numFmtId="0" fontId="9" fillId="30" borderId="11" xfId="63" applyFont="1" applyFill="1" applyBorder="1" applyAlignment="1">
      <alignment horizontal="center" vertical="center" wrapText="1"/>
    </xf>
    <xf numFmtId="0" fontId="9" fillId="30" borderId="10" xfId="63" applyFont="1" applyFill="1" applyBorder="1" applyAlignment="1">
      <alignment horizontal="center" vertical="center" wrapText="1"/>
    </xf>
    <xf numFmtId="2" fontId="9" fillId="26" borderId="2" xfId="0" applyNumberFormat="1" applyFont="1" applyFill="1" applyBorder="1" applyAlignment="1">
      <alignment horizontal="left" vertical="center"/>
    </xf>
    <xf numFmtId="2" fontId="9" fillId="26" borderId="0" xfId="0" applyNumberFormat="1" applyFont="1" applyFill="1" applyBorder="1" applyAlignment="1">
      <alignment horizontal="left" vertical="center"/>
    </xf>
    <xf numFmtId="2" fontId="9" fillId="26" borderId="3" xfId="0" applyNumberFormat="1" applyFont="1" applyFill="1" applyBorder="1" applyAlignment="1">
      <alignment horizontal="left" vertical="center"/>
    </xf>
    <xf numFmtId="0" fontId="52" fillId="0" borderId="0" xfId="84" applyFont="1"/>
    <xf numFmtId="0" fontId="53" fillId="0" borderId="0" xfId="84" applyFont="1"/>
    <xf numFmtId="0" fontId="53" fillId="0" borderId="0" xfId="84" applyFont="1" applyAlignment="1">
      <alignment horizontal="left"/>
    </xf>
    <xf numFmtId="0" fontId="31" fillId="0" borderId="0" xfId="84" applyFont="1" applyAlignment="1">
      <alignment horizontal="center"/>
    </xf>
    <xf numFmtId="0" fontId="34" fillId="0" borderId="0" xfId="84" applyFont="1"/>
    <xf numFmtId="0" fontId="34" fillId="0" borderId="0" xfId="84" applyFont="1" applyAlignment="1">
      <alignment horizontal="left"/>
    </xf>
    <xf numFmtId="0" fontId="54" fillId="0" borderId="0" xfId="84" applyFont="1" applyAlignment="1">
      <alignment horizontal="right" vertical="center"/>
    </xf>
    <xf numFmtId="10" fontId="31" fillId="33" borderId="0" xfId="84" applyNumberFormat="1" applyFont="1" applyFill="1" applyAlignment="1" applyProtection="1">
      <alignment vertical="center" wrapText="1"/>
      <protection locked="0"/>
    </xf>
    <xf numFmtId="0" fontId="31" fillId="0" borderId="0" xfId="84" applyFont="1"/>
    <xf numFmtId="0" fontId="34" fillId="0" borderId="0" xfId="84" applyFont="1" applyAlignment="1">
      <alignment horizontal="right" vertical="center"/>
    </xf>
    <xf numFmtId="10" fontId="31" fillId="0" borderId="0" xfId="84" applyNumberFormat="1" applyFont="1" applyAlignment="1">
      <alignment horizontal="left" vertical="center"/>
    </xf>
    <xf numFmtId="0" fontId="31" fillId="0" borderId="0" xfId="84" applyFont="1" applyAlignment="1">
      <alignment horizontal="center" wrapText="1"/>
    </xf>
    <xf numFmtId="0" fontId="31" fillId="0" borderId="0" xfId="84" applyFont="1" applyAlignment="1">
      <alignment wrapText="1"/>
    </xf>
    <xf numFmtId="0" fontId="9" fillId="0" borderId="0" xfId="85" applyFont="1"/>
    <xf numFmtId="0" fontId="8" fillId="0" borderId="0" xfId="85" applyFont="1"/>
    <xf numFmtId="0" fontId="55" fillId="0" borderId="0" xfId="85" applyFont="1"/>
    <xf numFmtId="0" fontId="56" fillId="0" borderId="0" xfId="85" applyFont="1"/>
    <xf numFmtId="0" fontId="9" fillId="0" borderId="0" xfId="85" applyFont="1" applyAlignment="1">
      <alignment horizontal="center"/>
    </xf>
    <xf numFmtId="0" fontId="9" fillId="0" borderId="0" xfId="85" applyFont="1"/>
    <xf numFmtId="0" fontId="8" fillId="33" borderId="0" xfId="85" applyFont="1" applyFill="1" applyProtection="1">
      <protection locked="0"/>
    </xf>
    <xf numFmtId="0" fontId="56" fillId="0" borderId="0" xfId="85" applyFont="1" applyAlignment="1">
      <alignment horizontal="center"/>
    </xf>
    <xf numFmtId="0" fontId="8" fillId="0" borderId="0" xfId="85" applyFont="1" applyAlignment="1">
      <alignment horizontal="center"/>
    </xf>
    <xf numFmtId="0" fontId="8" fillId="0" borderId="0" xfId="85" applyFont="1" applyAlignment="1">
      <alignment horizontal="right"/>
    </xf>
    <xf numFmtId="0" fontId="8" fillId="0" borderId="26" xfId="85" applyFont="1" applyBorder="1" applyAlignment="1">
      <alignment horizontal="justify" vertical="top" wrapText="1"/>
    </xf>
    <xf numFmtId="2" fontId="8" fillId="33" borderId="27" xfId="85" applyNumberFormat="1" applyFont="1" applyFill="1" applyBorder="1" applyAlignment="1" applyProtection="1">
      <alignment horizontal="center" vertical="top" wrapText="1"/>
      <protection locked="0"/>
    </xf>
    <xf numFmtId="0" fontId="8" fillId="0" borderId="11" xfId="85" applyFont="1" applyBorder="1" applyAlignment="1">
      <alignment horizontal="center" vertical="top" wrapText="1"/>
    </xf>
    <xf numFmtId="0" fontId="34" fillId="0" borderId="0" xfId="85" applyFont="1" applyAlignment="1">
      <alignment horizontal="center" wrapText="1"/>
    </xf>
    <xf numFmtId="0" fontId="57" fillId="0" borderId="8" xfId="85" applyFont="1" applyBorder="1" applyAlignment="1">
      <alignment horizontal="justify" vertical="top" wrapText="1"/>
    </xf>
    <xf numFmtId="2" fontId="8" fillId="0" borderId="8" xfId="85" applyNumberFormat="1" applyFont="1" applyBorder="1" applyAlignment="1">
      <alignment horizontal="center" vertical="top" wrapText="1"/>
    </xf>
    <xf numFmtId="0" fontId="8" fillId="0" borderId="8" xfId="85" applyFont="1" applyBorder="1" applyAlignment="1">
      <alignment horizontal="center" vertical="top" wrapText="1"/>
    </xf>
    <xf numFmtId="0" fontId="9" fillId="0" borderId="26" xfId="85" applyFont="1" applyBorder="1" applyAlignment="1">
      <alignment horizontal="justify"/>
    </xf>
    <xf numFmtId="2" fontId="9" fillId="0" borderId="27" xfId="85" applyNumberFormat="1" applyFont="1" applyBorder="1" applyAlignment="1">
      <alignment horizontal="center"/>
    </xf>
    <xf numFmtId="0" fontId="9" fillId="0" borderId="11" xfId="85" applyFont="1" applyBorder="1" applyAlignment="1">
      <alignment horizontal="center" vertical="top" wrapText="1"/>
    </xf>
    <xf numFmtId="0" fontId="57" fillId="0" borderId="26" xfId="85" applyFont="1" applyBorder="1" applyAlignment="1">
      <alignment horizontal="left" vertical="top" wrapText="1" indent="2"/>
    </xf>
    <xf numFmtId="2" fontId="8" fillId="0" borderId="27" xfId="85" applyNumberFormat="1" applyFont="1" applyBorder="1" applyAlignment="1">
      <alignment horizontal="center" vertical="top" wrapText="1"/>
    </xf>
    <xf numFmtId="2" fontId="8" fillId="0" borderId="11" xfId="85" applyNumberFormat="1" applyFont="1" applyBorder="1" applyAlignment="1">
      <alignment horizontal="center" vertical="top" wrapText="1"/>
    </xf>
    <xf numFmtId="10" fontId="59" fillId="34" borderId="1" xfId="86" applyNumberFormat="1" applyFont="1" applyFill="1" applyBorder="1" applyAlignment="1" applyProtection="1">
      <alignment horizontal="center" vertical="center" wrapText="1"/>
    </xf>
    <xf numFmtId="10" fontId="59" fillId="34" borderId="23" xfId="86" applyNumberFormat="1" applyFont="1" applyFill="1" applyBorder="1" applyAlignment="1" applyProtection="1">
      <alignment horizontal="center" vertical="center" wrapText="1"/>
    </xf>
    <xf numFmtId="10" fontId="32" fillId="0" borderId="0" xfId="87" applyNumberFormat="1" applyFont="1" applyBorder="1" applyAlignment="1" applyProtection="1">
      <alignment horizontal="center" vertical="center" wrapText="1"/>
    </xf>
    <xf numFmtId="10" fontId="32" fillId="0" borderId="0" xfId="87" applyNumberFormat="1" applyFont="1" applyBorder="1" applyAlignment="1" applyProtection="1">
      <alignment horizontal="left" vertical="center" wrapText="1"/>
    </xf>
    <xf numFmtId="10" fontId="59" fillId="34" borderId="4" xfId="86" applyNumberFormat="1" applyFont="1" applyFill="1" applyBorder="1" applyAlignment="1" applyProtection="1">
      <alignment horizontal="center" vertical="center" wrapText="1"/>
    </xf>
    <xf numFmtId="10" fontId="59" fillId="34" borderId="24" xfId="86" applyNumberFormat="1" applyFont="1" applyFill="1" applyBorder="1" applyAlignment="1" applyProtection="1">
      <alignment horizontal="center" vertical="center" wrapText="1"/>
    </xf>
    <xf numFmtId="10" fontId="60" fillId="0" borderId="0" xfId="87" applyNumberFormat="1" applyFont="1" applyProtection="1"/>
    <xf numFmtId="174" fontId="60" fillId="0" borderId="0" xfId="87" applyNumberFormat="1" applyFont="1" applyAlignment="1" applyProtection="1">
      <alignment horizontal="center"/>
    </xf>
    <xf numFmtId="0" fontId="45" fillId="0" borderId="0" xfId="85" applyFont="1" applyAlignment="1">
      <alignment horizontal="left"/>
    </xf>
    <xf numFmtId="0" fontId="45" fillId="0" borderId="0" xfId="84" applyFont="1" applyAlignment="1">
      <alignment vertical="center"/>
    </xf>
    <xf numFmtId="0" fontId="9" fillId="0" borderId="0" xfId="84" applyFont="1" applyAlignment="1">
      <alignment vertical="center"/>
    </xf>
    <xf numFmtId="0" fontId="61" fillId="0" borderId="0" xfId="84" applyFont="1" applyAlignment="1">
      <alignment vertical="center"/>
    </xf>
    <xf numFmtId="0" fontId="35" fillId="33" borderId="25" xfId="84" applyFont="1" applyFill="1" applyBorder="1" applyAlignment="1" applyProtection="1">
      <alignment horizontal="center" vertical="center"/>
      <protection locked="0"/>
    </xf>
    <xf numFmtId="0" fontId="61" fillId="33" borderId="0" xfId="84" applyFont="1" applyFill="1" applyAlignment="1" applyProtection="1">
      <alignment horizontal="center" vertical="center"/>
      <protection locked="0"/>
    </xf>
    <xf numFmtId="0" fontId="52" fillId="0" borderId="0" xfId="84" applyFont="1" applyAlignment="1">
      <alignment horizontal="center"/>
    </xf>
  </cellXfs>
  <cellStyles count="88">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asd" xfId="29" xr:uid="{00000000-0005-0000-0000-000018000000}"/>
    <cellStyle name="Bad" xfId="30" xr:uid="{00000000-0005-0000-0000-000019000000}"/>
    <cellStyle name="Calculation" xfId="31" xr:uid="{00000000-0005-0000-0000-00001A000000}"/>
    <cellStyle name="Check Cell" xfId="32" xr:uid="{00000000-0005-0000-0000-00001B000000}"/>
    <cellStyle name="Comma 2" xfId="33" xr:uid="{00000000-0005-0000-0000-00001C000000}"/>
    <cellStyle name="Comma 2 2" xfId="64" xr:uid="{00000000-0005-0000-0000-00001D000000}"/>
    <cellStyle name="Euro" xfId="34" xr:uid="{00000000-0005-0000-0000-00001E000000}"/>
    <cellStyle name="Euro 2" xfId="65" xr:uid="{00000000-0005-0000-0000-00001F000000}"/>
    <cellStyle name="Explanatory Text" xfId="35" xr:uid="{00000000-0005-0000-0000-000020000000}"/>
    <cellStyle name="Good" xfId="36" xr:uid="{00000000-0005-0000-0000-000021000000}"/>
    <cellStyle name="Heading 1" xfId="37" xr:uid="{00000000-0005-0000-0000-000022000000}"/>
    <cellStyle name="Heading 2" xfId="38" xr:uid="{00000000-0005-0000-0000-000023000000}"/>
    <cellStyle name="Heading 3" xfId="39" xr:uid="{00000000-0005-0000-0000-000024000000}"/>
    <cellStyle name="Heading 4" xfId="40" xr:uid="{00000000-0005-0000-0000-000025000000}"/>
    <cellStyle name="Input" xfId="41" xr:uid="{00000000-0005-0000-0000-000026000000}"/>
    <cellStyle name="Linked Cell" xfId="42" xr:uid="{00000000-0005-0000-0000-000027000000}"/>
    <cellStyle name="Moeda" xfId="82" builtinId="4"/>
    <cellStyle name="Moeda 2" xfId="43" xr:uid="{00000000-0005-0000-0000-000029000000}"/>
    <cellStyle name="Neutral" xfId="44" xr:uid="{00000000-0005-0000-0000-00002A000000}"/>
    <cellStyle name="Normal" xfId="0" builtinId="0"/>
    <cellStyle name="Normal 2" xfId="45" xr:uid="{00000000-0005-0000-0000-00002C000000}"/>
    <cellStyle name="Normal 2 2" xfId="85" xr:uid="{C75AA02E-71F6-42E3-826B-6B1F2F8EA5F0}"/>
    <cellStyle name="Normal 3" xfId="3" xr:uid="{00000000-0005-0000-0000-00002D000000}"/>
    <cellStyle name="Normal 3 2" xfId="63" xr:uid="{00000000-0005-0000-0000-00002E000000}"/>
    <cellStyle name="Normal 4" xfId="57" xr:uid="{00000000-0005-0000-0000-00002F000000}"/>
    <cellStyle name="Normal 4 2" xfId="60" xr:uid="{00000000-0005-0000-0000-000030000000}"/>
    <cellStyle name="Normal 4 2 2" xfId="79" xr:uid="{00000000-0005-0000-0000-000031000000}"/>
    <cellStyle name="Normal 4 3" xfId="78" xr:uid="{00000000-0005-0000-0000-000032000000}"/>
    <cellStyle name="Normal 4 3 2" xfId="81" xr:uid="{00000000-0005-0000-0000-000033000000}"/>
    <cellStyle name="Normal 5" xfId="75" xr:uid="{00000000-0005-0000-0000-000034000000}"/>
    <cellStyle name="Normal 6" xfId="74" xr:uid="{00000000-0005-0000-0000-000035000000}"/>
    <cellStyle name="Normal 7" xfId="80" xr:uid="{00000000-0005-0000-0000-000036000000}"/>
    <cellStyle name="Normal 8" xfId="83" xr:uid="{00000000-0005-0000-0000-000037000000}"/>
    <cellStyle name="Normal 9" xfId="84" xr:uid="{9722E81B-DE43-4256-B11B-BB9F70DAE1DD}"/>
    <cellStyle name="Normal_Replanilhamento T-1 - 18-02-08" xfId="4" xr:uid="{00000000-0005-0000-0000-000038000000}"/>
    <cellStyle name="Note" xfId="46" xr:uid="{00000000-0005-0000-0000-000039000000}"/>
    <cellStyle name="Note 2" xfId="66" xr:uid="{00000000-0005-0000-0000-00003A000000}"/>
    <cellStyle name="Output" xfId="47" xr:uid="{00000000-0005-0000-0000-00003B000000}"/>
    <cellStyle name="Percent 2" xfId="48" xr:uid="{00000000-0005-0000-0000-00003C000000}"/>
    <cellStyle name="Percent 2 2" xfId="67" xr:uid="{00000000-0005-0000-0000-00003D000000}"/>
    <cellStyle name="Porcentagem 2" xfId="49" xr:uid="{00000000-0005-0000-0000-00003E000000}"/>
    <cellStyle name="Porcentagem 2 2" xfId="50" xr:uid="{00000000-0005-0000-0000-00003F000000}"/>
    <cellStyle name="Porcentagem 2 2 2" xfId="69" xr:uid="{00000000-0005-0000-0000-000040000000}"/>
    <cellStyle name="Porcentagem 2 2 3" xfId="87" xr:uid="{1EE592AD-DE71-4CEF-8F8C-A191376DA36E}"/>
    <cellStyle name="Porcentagem 2 3" xfId="68" xr:uid="{00000000-0005-0000-0000-000041000000}"/>
    <cellStyle name="Porcentagem 2 4" xfId="86" xr:uid="{F6CF1758-703B-44C1-9511-7F3B1A18AB19}"/>
    <cellStyle name="Separador de milhares 2" xfId="2" xr:uid="{00000000-0005-0000-0000-000042000000}"/>
    <cellStyle name="Separador de milhares 2 2" xfId="62" xr:uid="{00000000-0005-0000-0000-000043000000}"/>
    <cellStyle name="Separador de milhares 2 3" xfId="77" xr:uid="{00000000-0005-0000-0000-000044000000}"/>
    <cellStyle name="Separador de milhares 3" xfId="51" xr:uid="{00000000-0005-0000-0000-000045000000}"/>
    <cellStyle name="Separador de milhares 3 2" xfId="70" xr:uid="{00000000-0005-0000-0000-000046000000}"/>
    <cellStyle name="Separador de milhares 6" xfId="58" xr:uid="{00000000-0005-0000-0000-000047000000}"/>
    <cellStyle name="Separador de milhares 6 2" xfId="72" xr:uid="{00000000-0005-0000-0000-000048000000}"/>
    <cellStyle name="Title" xfId="52" xr:uid="{00000000-0005-0000-0000-000049000000}"/>
    <cellStyle name="Título 1 1" xfId="53" xr:uid="{00000000-0005-0000-0000-00004A000000}"/>
    <cellStyle name="Título 1 1 1" xfId="54" xr:uid="{00000000-0005-0000-0000-00004B000000}"/>
    <cellStyle name="Vírgula" xfId="1" builtinId="3"/>
    <cellStyle name="Vírgula 2" xfId="56" xr:uid="{00000000-0005-0000-0000-00004D000000}"/>
    <cellStyle name="Vírgula 2 2" xfId="71" xr:uid="{00000000-0005-0000-0000-00004E000000}"/>
    <cellStyle name="Vírgula 3" xfId="59" xr:uid="{00000000-0005-0000-0000-00004F000000}"/>
    <cellStyle name="Vírgula 3 2" xfId="73" xr:uid="{00000000-0005-0000-0000-000050000000}"/>
    <cellStyle name="Vírgula 4" xfId="61" xr:uid="{00000000-0005-0000-0000-000051000000}"/>
    <cellStyle name="Vírgula 5" xfId="76" xr:uid="{00000000-0005-0000-0000-000052000000}"/>
    <cellStyle name="Warning Text" xfId="55" xr:uid="{00000000-0005-0000-0000-000053000000}"/>
  </cellStyles>
  <dxfs count="2">
    <dxf>
      <font>
        <condense val="0"/>
        <extend val="0"/>
        <color indexed="12"/>
      </font>
    </dxf>
    <dxf>
      <font>
        <color theme="0"/>
      </font>
    </dxf>
  </dxfs>
  <tableStyles count="0" defaultTableStyle="TableStyleMedium2" defaultPivotStyle="PivotStyleLight16"/>
  <colors>
    <mruColors>
      <color rgb="FFFFFFCC"/>
      <color rgb="FFFFFF99"/>
      <color rgb="FFFFFFE7"/>
      <color rgb="FFFF66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324</xdr:row>
      <xdr:rowOff>0</xdr:rowOff>
    </xdr:from>
    <xdr:to>
      <xdr:col>1</xdr:col>
      <xdr:colOff>495300</xdr:colOff>
      <xdr:row>324</xdr:row>
      <xdr:rowOff>38100</xdr:rowOff>
    </xdr:to>
    <xdr:sp macro="" textlink="">
      <xdr:nvSpPr>
        <xdr:cNvPr id="2" name="Text Box 101">
          <a:extLst>
            <a:ext uri="{FF2B5EF4-FFF2-40B4-BE49-F238E27FC236}">
              <a16:creationId xmlns:a16="http://schemas.microsoft.com/office/drawing/2014/main" id="{00000000-0008-0000-0200-00000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 name="Text Box 102">
          <a:extLst>
            <a:ext uri="{FF2B5EF4-FFF2-40B4-BE49-F238E27FC236}">
              <a16:creationId xmlns:a16="http://schemas.microsoft.com/office/drawing/2014/main" id="{00000000-0008-0000-0200-00000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4" name="Text Box 103">
          <a:extLst>
            <a:ext uri="{FF2B5EF4-FFF2-40B4-BE49-F238E27FC236}">
              <a16:creationId xmlns:a16="http://schemas.microsoft.com/office/drawing/2014/main" id="{00000000-0008-0000-0200-00000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5" name="Text Box 104">
          <a:extLst>
            <a:ext uri="{FF2B5EF4-FFF2-40B4-BE49-F238E27FC236}">
              <a16:creationId xmlns:a16="http://schemas.microsoft.com/office/drawing/2014/main" id="{00000000-0008-0000-0200-00000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6" name="Text Box 105">
          <a:extLst>
            <a:ext uri="{FF2B5EF4-FFF2-40B4-BE49-F238E27FC236}">
              <a16:creationId xmlns:a16="http://schemas.microsoft.com/office/drawing/2014/main" id="{00000000-0008-0000-0200-00000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7" name="Text Box 106">
          <a:extLst>
            <a:ext uri="{FF2B5EF4-FFF2-40B4-BE49-F238E27FC236}">
              <a16:creationId xmlns:a16="http://schemas.microsoft.com/office/drawing/2014/main" id="{00000000-0008-0000-0200-00000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 name="Text Box 107">
          <a:extLst>
            <a:ext uri="{FF2B5EF4-FFF2-40B4-BE49-F238E27FC236}">
              <a16:creationId xmlns:a16="http://schemas.microsoft.com/office/drawing/2014/main" id="{00000000-0008-0000-0200-00000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 name="Text Box 108">
          <a:extLst>
            <a:ext uri="{FF2B5EF4-FFF2-40B4-BE49-F238E27FC236}">
              <a16:creationId xmlns:a16="http://schemas.microsoft.com/office/drawing/2014/main" id="{00000000-0008-0000-0200-00000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 name="Text Box 109">
          <a:extLst>
            <a:ext uri="{FF2B5EF4-FFF2-40B4-BE49-F238E27FC236}">
              <a16:creationId xmlns:a16="http://schemas.microsoft.com/office/drawing/2014/main" id="{00000000-0008-0000-0200-00000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1" name="Text Box 110">
          <a:extLst>
            <a:ext uri="{FF2B5EF4-FFF2-40B4-BE49-F238E27FC236}">
              <a16:creationId xmlns:a16="http://schemas.microsoft.com/office/drawing/2014/main" id="{00000000-0008-0000-0200-00000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2" name="Text Box 111">
          <a:extLst>
            <a:ext uri="{FF2B5EF4-FFF2-40B4-BE49-F238E27FC236}">
              <a16:creationId xmlns:a16="http://schemas.microsoft.com/office/drawing/2014/main" id="{00000000-0008-0000-0200-00000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3" name="Text Box 112">
          <a:extLst>
            <a:ext uri="{FF2B5EF4-FFF2-40B4-BE49-F238E27FC236}">
              <a16:creationId xmlns:a16="http://schemas.microsoft.com/office/drawing/2014/main" id="{00000000-0008-0000-0200-00000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4" name="Text Box 113">
          <a:extLst>
            <a:ext uri="{FF2B5EF4-FFF2-40B4-BE49-F238E27FC236}">
              <a16:creationId xmlns:a16="http://schemas.microsoft.com/office/drawing/2014/main" id="{00000000-0008-0000-0200-00000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5" name="Text Box 114">
          <a:extLst>
            <a:ext uri="{FF2B5EF4-FFF2-40B4-BE49-F238E27FC236}">
              <a16:creationId xmlns:a16="http://schemas.microsoft.com/office/drawing/2014/main" id="{00000000-0008-0000-0200-00000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6" name="Text Box 115">
          <a:extLst>
            <a:ext uri="{FF2B5EF4-FFF2-40B4-BE49-F238E27FC236}">
              <a16:creationId xmlns:a16="http://schemas.microsoft.com/office/drawing/2014/main" id="{00000000-0008-0000-0200-00001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7" name="Text Box 116">
          <a:extLst>
            <a:ext uri="{FF2B5EF4-FFF2-40B4-BE49-F238E27FC236}">
              <a16:creationId xmlns:a16="http://schemas.microsoft.com/office/drawing/2014/main" id="{00000000-0008-0000-0200-00001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8" name="Text Box 117">
          <a:extLst>
            <a:ext uri="{FF2B5EF4-FFF2-40B4-BE49-F238E27FC236}">
              <a16:creationId xmlns:a16="http://schemas.microsoft.com/office/drawing/2014/main" id="{00000000-0008-0000-0200-00001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9" name="Text Box 118">
          <a:extLst>
            <a:ext uri="{FF2B5EF4-FFF2-40B4-BE49-F238E27FC236}">
              <a16:creationId xmlns:a16="http://schemas.microsoft.com/office/drawing/2014/main" id="{00000000-0008-0000-0200-00001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0" name="Text Box 119">
          <a:extLst>
            <a:ext uri="{FF2B5EF4-FFF2-40B4-BE49-F238E27FC236}">
              <a16:creationId xmlns:a16="http://schemas.microsoft.com/office/drawing/2014/main" id="{00000000-0008-0000-0200-00001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 name="Text Box 120">
          <a:extLst>
            <a:ext uri="{FF2B5EF4-FFF2-40B4-BE49-F238E27FC236}">
              <a16:creationId xmlns:a16="http://schemas.microsoft.com/office/drawing/2014/main" id="{00000000-0008-0000-0200-00001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 name="Text Box 121">
          <a:extLst>
            <a:ext uri="{FF2B5EF4-FFF2-40B4-BE49-F238E27FC236}">
              <a16:creationId xmlns:a16="http://schemas.microsoft.com/office/drawing/2014/main" id="{00000000-0008-0000-0200-00001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 name="Text Box 122">
          <a:extLst>
            <a:ext uri="{FF2B5EF4-FFF2-40B4-BE49-F238E27FC236}">
              <a16:creationId xmlns:a16="http://schemas.microsoft.com/office/drawing/2014/main" id="{00000000-0008-0000-0200-00001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4" name="Text Box 123">
          <a:extLst>
            <a:ext uri="{FF2B5EF4-FFF2-40B4-BE49-F238E27FC236}">
              <a16:creationId xmlns:a16="http://schemas.microsoft.com/office/drawing/2014/main" id="{00000000-0008-0000-0200-00001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 name="Text Box 124">
          <a:extLst>
            <a:ext uri="{FF2B5EF4-FFF2-40B4-BE49-F238E27FC236}">
              <a16:creationId xmlns:a16="http://schemas.microsoft.com/office/drawing/2014/main" id="{00000000-0008-0000-0200-00001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 name="Text Box 125">
          <a:extLst>
            <a:ext uri="{FF2B5EF4-FFF2-40B4-BE49-F238E27FC236}">
              <a16:creationId xmlns:a16="http://schemas.microsoft.com/office/drawing/2014/main" id="{00000000-0008-0000-0200-00001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7" name="Text Box 126">
          <a:extLst>
            <a:ext uri="{FF2B5EF4-FFF2-40B4-BE49-F238E27FC236}">
              <a16:creationId xmlns:a16="http://schemas.microsoft.com/office/drawing/2014/main" id="{00000000-0008-0000-0200-00001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 name="Text Box 127">
          <a:extLst>
            <a:ext uri="{FF2B5EF4-FFF2-40B4-BE49-F238E27FC236}">
              <a16:creationId xmlns:a16="http://schemas.microsoft.com/office/drawing/2014/main" id="{00000000-0008-0000-0200-00001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 name="Text Box 128">
          <a:extLst>
            <a:ext uri="{FF2B5EF4-FFF2-40B4-BE49-F238E27FC236}">
              <a16:creationId xmlns:a16="http://schemas.microsoft.com/office/drawing/2014/main" id="{00000000-0008-0000-0200-00001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 name="Text Box 129">
          <a:extLst>
            <a:ext uri="{FF2B5EF4-FFF2-40B4-BE49-F238E27FC236}">
              <a16:creationId xmlns:a16="http://schemas.microsoft.com/office/drawing/2014/main" id="{00000000-0008-0000-0200-00001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162204</xdr:rowOff>
    </xdr:to>
    <xdr:sp macro="" textlink="">
      <xdr:nvSpPr>
        <xdr:cNvPr id="31" name="Text Box 130">
          <a:extLst>
            <a:ext uri="{FF2B5EF4-FFF2-40B4-BE49-F238E27FC236}">
              <a16:creationId xmlns:a16="http://schemas.microsoft.com/office/drawing/2014/main" id="{00000000-0008-0000-0200-00001F000000}"/>
            </a:ext>
          </a:extLst>
        </xdr:cNvPr>
        <xdr:cNvSpPr txBox="1">
          <a:spLocks noChangeArrowheads="1"/>
        </xdr:cNvSpPr>
      </xdr:nvSpPr>
      <xdr:spPr bwMode="auto">
        <a:xfrm>
          <a:off x="1076325" y="16221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32" name="Text Box 131">
          <a:extLst>
            <a:ext uri="{FF2B5EF4-FFF2-40B4-BE49-F238E27FC236}">
              <a16:creationId xmlns:a16="http://schemas.microsoft.com/office/drawing/2014/main" id="{00000000-0008-0000-0200-000020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3" name="Text Box 132">
          <a:extLst>
            <a:ext uri="{FF2B5EF4-FFF2-40B4-BE49-F238E27FC236}">
              <a16:creationId xmlns:a16="http://schemas.microsoft.com/office/drawing/2014/main" id="{00000000-0008-0000-0200-00002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4" name="Text Box 133">
          <a:extLst>
            <a:ext uri="{FF2B5EF4-FFF2-40B4-BE49-F238E27FC236}">
              <a16:creationId xmlns:a16="http://schemas.microsoft.com/office/drawing/2014/main" id="{00000000-0008-0000-0200-00002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35" name="Text Box 134">
          <a:extLst>
            <a:ext uri="{FF2B5EF4-FFF2-40B4-BE49-F238E27FC236}">
              <a16:creationId xmlns:a16="http://schemas.microsoft.com/office/drawing/2014/main" id="{00000000-0008-0000-0200-000023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 name="Text Box 135">
          <a:extLst>
            <a:ext uri="{FF2B5EF4-FFF2-40B4-BE49-F238E27FC236}">
              <a16:creationId xmlns:a16="http://schemas.microsoft.com/office/drawing/2014/main" id="{00000000-0008-0000-0200-00002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 name="Text Box 136">
          <a:extLst>
            <a:ext uri="{FF2B5EF4-FFF2-40B4-BE49-F238E27FC236}">
              <a16:creationId xmlns:a16="http://schemas.microsoft.com/office/drawing/2014/main" id="{00000000-0008-0000-0200-00002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38" name="Text Box 137">
          <a:extLst>
            <a:ext uri="{FF2B5EF4-FFF2-40B4-BE49-F238E27FC236}">
              <a16:creationId xmlns:a16="http://schemas.microsoft.com/office/drawing/2014/main" id="{00000000-0008-0000-0200-000026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 name="Text Box 138">
          <a:extLst>
            <a:ext uri="{FF2B5EF4-FFF2-40B4-BE49-F238E27FC236}">
              <a16:creationId xmlns:a16="http://schemas.microsoft.com/office/drawing/2014/main" id="{00000000-0008-0000-0200-00002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 name="Text Box 139">
          <a:extLst>
            <a:ext uri="{FF2B5EF4-FFF2-40B4-BE49-F238E27FC236}">
              <a16:creationId xmlns:a16="http://schemas.microsoft.com/office/drawing/2014/main" id="{00000000-0008-0000-0200-00002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41" name="Text Box 140">
          <a:extLst>
            <a:ext uri="{FF2B5EF4-FFF2-40B4-BE49-F238E27FC236}">
              <a16:creationId xmlns:a16="http://schemas.microsoft.com/office/drawing/2014/main" id="{00000000-0008-0000-0200-00002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 name="Text Box 141">
          <a:extLst>
            <a:ext uri="{FF2B5EF4-FFF2-40B4-BE49-F238E27FC236}">
              <a16:creationId xmlns:a16="http://schemas.microsoft.com/office/drawing/2014/main" id="{00000000-0008-0000-0200-00002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 name="Text Box 142">
          <a:extLst>
            <a:ext uri="{FF2B5EF4-FFF2-40B4-BE49-F238E27FC236}">
              <a16:creationId xmlns:a16="http://schemas.microsoft.com/office/drawing/2014/main" id="{00000000-0008-0000-0200-00002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44" name="Text Box 143">
          <a:extLst>
            <a:ext uri="{FF2B5EF4-FFF2-40B4-BE49-F238E27FC236}">
              <a16:creationId xmlns:a16="http://schemas.microsoft.com/office/drawing/2014/main" id="{00000000-0008-0000-0200-00002C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 name="Text Box 144">
          <a:extLst>
            <a:ext uri="{FF2B5EF4-FFF2-40B4-BE49-F238E27FC236}">
              <a16:creationId xmlns:a16="http://schemas.microsoft.com/office/drawing/2014/main" id="{00000000-0008-0000-0200-00002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 name="Text Box 145">
          <a:extLst>
            <a:ext uri="{FF2B5EF4-FFF2-40B4-BE49-F238E27FC236}">
              <a16:creationId xmlns:a16="http://schemas.microsoft.com/office/drawing/2014/main" id="{00000000-0008-0000-0200-00002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47" name="Text Box 146">
          <a:extLst>
            <a:ext uri="{FF2B5EF4-FFF2-40B4-BE49-F238E27FC236}">
              <a16:creationId xmlns:a16="http://schemas.microsoft.com/office/drawing/2014/main" id="{00000000-0008-0000-0200-00002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8" name="Text Box 147">
          <a:extLst>
            <a:ext uri="{FF2B5EF4-FFF2-40B4-BE49-F238E27FC236}">
              <a16:creationId xmlns:a16="http://schemas.microsoft.com/office/drawing/2014/main" id="{00000000-0008-0000-0200-00003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 name="Text Box 148">
          <a:extLst>
            <a:ext uri="{FF2B5EF4-FFF2-40B4-BE49-F238E27FC236}">
              <a16:creationId xmlns:a16="http://schemas.microsoft.com/office/drawing/2014/main" id="{00000000-0008-0000-0200-00003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 name="Text Box 149">
          <a:extLst>
            <a:ext uri="{FF2B5EF4-FFF2-40B4-BE49-F238E27FC236}">
              <a16:creationId xmlns:a16="http://schemas.microsoft.com/office/drawing/2014/main" id="{00000000-0008-0000-0200-00003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1" name="Text Box 150">
          <a:extLst>
            <a:ext uri="{FF2B5EF4-FFF2-40B4-BE49-F238E27FC236}">
              <a16:creationId xmlns:a16="http://schemas.microsoft.com/office/drawing/2014/main" id="{00000000-0008-0000-0200-00003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 name="Text Box 151">
          <a:extLst>
            <a:ext uri="{FF2B5EF4-FFF2-40B4-BE49-F238E27FC236}">
              <a16:creationId xmlns:a16="http://schemas.microsoft.com/office/drawing/2014/main" id="{00000000-0008-0000-0200-00003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 name="Text Box 152">
          <a:extLst>
            <a:ext uri="{FF2B5EF4-FFF2-40B4-BE49-F238E27FC236}">
              <a16:creationId xmlns:a16="http://schemas.microsoft.com/office/drawing/2014/main" id="{00000000-0008-0000-0200-00003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4" name="Text Box 153">
          <a:extLst>
            <a:ext uri="{FF2B5EF4-FFF2-40B4-BE49-F238E27FC236}">
              <a16:creationId xmlns:a16="http://schemas.microsoft.com/office/drawing/2014/main" id="{00000000-0008-0000-0200-000036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 name="Text Box 154">
          <a:extLst>
            <a:ext uri="{FF2B5EF4-FFF2-40B4-BE49-F238E27FC236}">
              <a16:creationId xmlns:a16="http://schemas.microsoft.com/office/drawing/2014/main" id="{00000000-0008-0000-0200-00003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 name="Text Box 155">
          <a:extLst>
            <a:ext uri="{FF2B5EF4-FFF2-40B4-BE49-F238E27FC236}">
              <a16:creationId xmlns:a16="http://schemas.microsoft.com/office/drawing/2014/main" id="{00000000-0008-0000-0200-00003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7" name="Text Box 156">
          <a:extLst>
            <a:ext uri="{FF2B5EF4-FFF2-40B4-BE49-F238E27FC236}">
              <a16:creationId xmlns:a16="http://schemas.microsoft.com/office/drawing/2014/main" id="{00000000-0008-0000-0200-00003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 name="Text Box 157">
          <a:extLst>
            <a:ext uri="{FF2B5EF4-FFF2-40B4-BE49-F238E27FC236}">
              <a16:creationId xmlns:a16="http://schemas.microsoft.com/office/drawing/2014/main" id="{00000000-0008-0000-0200-00003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 name="Text Box 158">
          <a:extLst>
            <a:ext uri="{FF2B5EF4-FFF2-40B4-BE49-F238E27FC236}">
              <a16:creationId xmlns:a16="http://schemas.microsoft.com/office/drawing/2014/main" id="{00000000-0008-0000-0200-00003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0" name="Text Box 159">
          <a:extLst>
            <a:ext uri="{FF2B5EF4-FFF2-40B4-BE49-F238E27FC236}">
              <a16:creationId xmlns:a16="http://schemas.microsoft.com/office/drawing/2014/main" id="{00000000-0008-0000-0200-00003C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 name="Text Box 160">
          <a:extLst>
            <a:ext uri="{FF2B5EF4-FFF2-40B4-BE49-F238E27FC236}">
              <a16:creationId xmlns:a16="http://schemas.microsoft.com/office/drawing/2014/main" id="{00000000-0008-0000-0200-00003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 name="Text Box 161">
          <a:extLst>
            <a:ext uri="{FF2B5EF4-FFF2-40B4-BE49-F238E27FC236}">
              <a16:creationId xmlns:a16="http://schemas.microsoft.com/office/drawing/2014/main" id="{00000000-0008-0000-0200-00003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3" name="Text Box 162">
          <a:extLst>
            <a:ext uri="{FF2B5EF4-FFF2-40B4-BE49-F238E27FC236}">
              <a16:creationId xmlns:a16="http://schemas.microsoft.com/office/drawing/2014/main" id="{00000000-0008-0000-0200-00003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4" name="Text Box 163">
          <a:extLst>
            <a:ext uri="{FF2B5EF4-FFF2-40B4-BE49-F238E27FC236}">
              <a16:creationId xmlns:a16="http://schemas.microsoft.com/office/drawing/2014/main" id="{00000000-0008-0000-0200-000040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 name="Text Box 164">
          <a:extLst>
            <a:ext uri="{FF2B5EF4-FFF2-40B4-BE49-F238E27FC236}">
              <a16:creationId xmlns:a16="http://schemas.microsoft.com/office/drawing/2014/main" id="{00000000-0008-0000-0200-00004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 name="Text Box 165">
          <a:extLst>
            <a:ext uri="{FF2B5EF4-FFF2-40B4-BE49-F238E27FC236}">
              <a16:creationId xmlns:a16="http://schemas.microsoft.com/office/drawing/2014/main" id="{00000000-0008-0000-0200-00004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7" name="Text Box 166">
          <a:extLst>
            <a:ext uri="{FF2B5EF4-FFF2-40B4-BE49-F238E27FC236}">
              <a16:creationId xmlns:a16="http://schemas.microsoft.com/office/drawing/2014/main" id="{00000000-0008-0000-0200-00004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 name="Text Box 167">
          <a:extLst>
            <a:ext uri="{FF2B5EF4-FFF2-40B4-BE49-F238E27FC236}">
              <a16:creationId xmlns:a16="http://schemas.microsoft.com/office/drawing/2014/main" id="{00000000-0008-0000-0200-00004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 name="Text Box 168">
          <a:extLst>
            <a:ext uri="{FF2B5EF4-FFF2-40B4-BE49-F238E27FC236}">
              <a16:creationId xmlns:a16="http://schemas.microsoft.com/office/drawing/2014/main" id="{00000000-0008-0000-0200-00004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0" name="Text Box 169">
          <a:extLst>
            <a:ext uri="{FF2B5EF4-FFF2-40B4-BE49-F238E27FC236}">
              <a16:creationId xmlns:a16="http://schemas.microsoft.com/office/drawing/2014/main" id="{00000000-0008-0000-0200-000046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 name="Text Box 170">
          <a:extLst>
            <a:ext uri="{FF2B5EF4-FFF2-40B4-BE49-F238E27FC236}">
              <a16:creationId xmlns:a16="http://schemas.microsoft.com/office/drawing/2014/main" id="{00000000-0008-0000-0200-00004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 name="Text Box 171">
          <a:extLst>
            <a:ext uri="{FF2B5EF4-FFF2-40B4-BE49-F238E27FC236}">
              <a16:creationId xmlns:a16="http://schemas.microsoft.com/office/drawing/2014/main" id="{00000000-0008-0000-0200-00004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3" name="Text Box 172">
          <a:extLst>
            <a:ext uri="{FF2B5EF4-FFF2-40B4-BE49-F238E27FC236}">
              <a16:creationId xmlns:a16="http://schemas.microsoft.com/office/drawing/2014/main" id="{00000000-0008-0000-0200-00004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 name="Text Box 173">
          <a:extLst>
            <a:ext uri="{FF2B5EF4-FFF2-40B4-BE49-F238E27FC236}">
              <a16:creationId xmlns:a16="http://schemas.microsoft.com/office/drawing/2014/main" id="{00000000-0008-0000-0200-00004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 name="Text Box 174">
          <a:extLst>
            <a:ext uri="{FF2B5EF4-FFF2-40B4-BE49-F238E27FC236}">
              <a16:creationId xmlns:a16="http://schemas.microsoft.com/office/drawing/2014/main" id="{00000000-0008-0000-0200-00004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6" name="Text Box 175">
          <a:extLst>
            <a:ext uri="{FF2B5EF4-FFF2-40B4-BE49-F238E27FC236}">
              <a16:creationId xmlns:a16="http://schemas.microsoft.com/office/drawing/2014/main" id="{00000000-0008-0000-0200-00004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7" name="Text Box 176">
          <a:extLst>
            <a:ext uri="{FF2B5EF4-FFF2-40B4-BE49-F238E27FC236}">
              <a16:creationId xmlns:a16="http://schemas.microsoft.com/office/drawing/2014/main" id="{00000000-0008-0000-0200-00004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8" name="Text Box 177">
          <a:extLst>
            <a:ext uri="{FF2B5EF4-FFF2-40B4-BE49-F238E27FC236}">
              <a16:creationId xmlns:a16="http://schemas.microsoft.com/office/drawing/2014/main" id="{00000000-0008-0000-0200-00004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9" name="Text Box 178">
          <a:extLst>
            <a:ext uri="{FF2B5EF4-FFF2-40B4-BE49-F238E27FC236}">
              <a16:creationId xmlns:a16="http://schemas.microsoft.com/office/drawing/2014/main" id="{00000000-0008-0000-0200-00004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80" name="Text Box 179">
          <a:extLst>
            <a:ext uri="{FF2B5EF4-FFF2-40B4-BE49-F238E27FC236}">
              <a16:creationId xmlns:a16="http://schemas.microsoft.com/office/drawing/2014/main" id="{00000000-0008-0000-0200-00005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81" name="Text Box 180">
          <a:extLst>
            <a:ext uri="{FF2B5EF4-FFF2-40B4-BE49-F238E27FC236}">
              <a16:creationId xmlns:a16="http://schemas.microsoft.com/office/drawing/2014/main" id="{00000000-0008-0000-0200-00005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2" name="Text Box 181">
          <a:extLst>
            <a:ext uri="{FF2B5EF4-FFF2-40B4-BE49-F238E27FC236}">
              <a16:creationId xmlns:a16="http://schemas.microsoft.com/office/drawing/2014/main" id="{00000000-0008-0000-0200-00005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3" name="Text Box 182">
          <a:extLst>
            <a:ext uri="{FF2B5EF4-FFF2-40B4-BE49-F238E27FC236}">
              <a16:creationId xmlns:a16="http://schemas.microsoft.com/office/drawing/2014/main" id="{00000000-0008-0000-0200-00005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4" name="Text Box 183">
          <a:extLst>
            <a:ext uri="{FF2B5EF4-FFF2-40B4-BE49-F238E27FC236}">
              <a16:creationId xmlns:a16="http://schemas.microsoft.com/office/drawing/2014/main" id="{00000000-0008-0000-0200-00005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5" name="Text Box 184">
          <a:extLst>
            <a:ext uri="{FF2B5EF4-FFF2-40B4-BE49-F238E27FC236}">
              <a16:creationId xmlns:a16="http://schemas.microsoft.com/office/drawing/2014/main" id="{00000000-0008-0000-0200-00005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6" name="Text Box 185">
          <a:extLst>
            <a:ext uri="{FF2B5EF4-FFF2-40B4-BE49-F238E27FC236}">
              <a16:creationId xmlns:a16="http://schemas.microsoft.com/office/drawing/2014/main" id="{00000000-0008-0000-0200-00005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7" name="Text Box 186">
          <a:extLst>
            <a:ext uri="{FF2B5EF4-FFF2-40B4-BE49-F238E27FC236}">
              <a16:creationId xmlns:a16="http://schemas.microsoft.com/office/drawing/2014/main" id="{00000000-0008-0000-0200-00005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8" name="Text Box 187">
          <a:extLst>
            <a:ext uri="{FF2B5EF4-FFF2-40B4-BE49-F238E27FC236}">
              <a16:creationId xmlns:a16="http://schemas.microsoft.com/office/drawing/2014/main" id="{00000000-0008-0000-0200-00005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89" name="Text Box 188">
          <a:extLst>
            <a:ext uri="{FF2B5EF4-FFF2-40B4-BE49-F238E27FC236}">
              <a16:creationId xmlns:a16="http://schemas.microsoft.com/office/drawing/2014/main" id="{00000000-0008-0000-0200-00005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0" name="Text Box 189">
          <a:extLst>
            <a:ext uri="{FF2B5EF4-FFF2-40B4-BE49-F238E27FC236}">
              <a16:creationId xmlns:a16="http://schemas.microsoft.com/office/drawing/2014/main" id="{00000000-0008-0000-0200-00005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1" name="Text Box 190">
          <a:extLst>
            <a:ext uri="{FF2B5EF4-FFF2-40B4-BE49-F238E27FC236}">
              <a16:creationId xmlns:a16="http://schemas.microsoft.com/office/drawing/2014/main" id="{00000000-0008-0000-0200-00005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2" name="Text Box 191">
          <a:extLst>
            <a:ext uri="{FF2B5EF4-FFF2-40B4-BE49-F238E27FC236}">
              <a16:creationId xmlns:a16="http://schemas.microsoft.com/office/drawing/2014/main" id="{00000000-0008-0000-0200-00005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3" name="Text Box 192">
          <a:extLst>
            <a:ext uri="{FF2B5EF4-FFF2-40B4-BE49-F238E27FC236}">
              <a16:creationId xmlns:a16="http://schemas.microsoft.com/office/drawing/2014/main" id="{00000000-0008-0000-0200-00005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4" name="Text Box 193">
          <a:extLst>
            <a:ext uri="{FF2B5EF4-FFF2-40B4-BE49-F238E27FC236}">
              <a16:creationId xmlns:a16="http://schemas.microsoft.com/office/drawing/2014/main" id="{00000000-0008-0000-0200-00005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5" name="Text Box 194">
          <a:extLst>
            <a:ext uri="{FF2B5EF4-FFF2-40B4-BE49-F238E27FC236}">
              <a16:creationId xmlns:a16="http://schemas.microsoft.com/office/drawing/2014/main" id="{00000000-0008-0000-0200-00005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6" name="Text Box 195">
          <a:extLst>
            <a:ext uri="{FF2B5EF4-FFF2-40B4-BE49-F238E27FC236}">
              <a16:creationId xmlns:a16="http://schemas.microsoft.com/office/drawing/2014/main" id="{00000000-0008-0000-0200-00006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7" name="Text Box 196">
          <a:extLst>
            <a:ext uri="{FF2B5EF4-FFF2-40B4-BE49-F238E27FC236}">
              <a16:creationId xmlns:a16="http://schemas.microsoft.com/office/drawing/2014/main" id="{00000000-0008-0000-0200-00006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8" name="Text Box 197">
          <a:extLst>
            <a:ext uri="{FF2B5EF4-FFF2-40B4-BE49-F238E27FC236}">
              <a16:creationId xmlns:a16="http://schemas.microsoft.com/office/drawing/2014/main" id="{00000000-0008-0000-0200-00006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99" name="Text Box 198">
          <a:extLst>
            <a:ext uri="{FF2B5EF4-FFF2-40B4-BE49-F238E27FC236}">
              <a16:creationId xmlns:a16="http://schemas.microsoft.com/office/drawing/2014/main" id="{00000000-0008-0000-0200-00006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0" name="Text Box 199">
          <a:extLst>
            <a:ext uri="{FF2B5EF4-FFF2-40B4-BE49-F238E27FC236}">
              <a16:creationId xmlns:a16="http://schemas.microsoft.com/office/drawing/2014/main" id="{00000000-0008-0000-0200-00006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1" name="Text Box 200">
          <a:extLst>
            <a:ext uri="{FF2B5EF4-FFF2-40B4-BE49-F238E27FC236}">
              <a16:creationId xmlns:a16="http://schemas.microsoft.com/office/drawing/2014/main" id="{00000000-0008-0000-0200-00006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2" name="Text Box 201">
          <a:extLst>
            <a:ext uri="{FF2B5EF4-FFF2-40B4-BE49-F238E27FC236}">
              <a16:creationId xmlns:a16="http://schemas.microsoft.com/office/drawing/2014/main" id="{00000000-0008-0000-0200-00006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3" name="Text Box 202">
          <a:extLst>
            <a:ext uri="{FF2B5EF4-FFF2-40B4-BE49-F238E27FC236}">
              <a16:creationId xmlns:a16="http://schemas.microsoft.com/office/drawing/2014/main" id="{00000000-0008-0000-0200-00006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4" name="Text Box 203">
          <a:extLst>
            <a:ext uri="{FF2B5EF4-FFF2-40B4-BE49-F238E27FC236}">
              <a16:creationId xmlns:a16="http://schemas.microsoft.com/office/drawing/2014/main" id="{00000000-0008-0000-0200-00006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5" name="Text Box 204">
          <a:extLst>
            <a:ext uri="{FF2B5EF4-FFF2-40B4-BE49-F238E27FC236}">
              <a16:creationId xmlns:a16="http://schemas.microsoft.com/office/drawing/2014/main" id="{00000000-0008-0000-0200-00006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6" name="Text Box 205">
          <a:extLst>
            <a:ext uri="{FF2B5EF4-FFF2-40B4-BE49-F238E27FC236}">
              <a16:creationId xmlns:a16="http://schemas.microsoft.com/office/drawing/2014/main" id="{00000000-0008-0000-0200-00006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7" name="Text Box 206">
          <a:extLst>
            <a:ext uri="{FF2B5EF4-FFF2-40B4-BE49-F238E27FC236}">
              <a16:creationId xmlns:a16="http://schemas.microsoft.com/office/drawing/2014/main" id="{00000000-0008-0000-0200-00006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108" name="Text Box 207">
          <a:extLst>
            <a:ext uri="{FF2B5EF4-FFF2-40B4-BE49-F238E27FC236}">
              <a16:creationId xmlns:a16="http://schemas.microsoft.com/office/drawing/2014/main" id="{00000000-0008-0000-0200-00006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109" name="Text Box 208">
          <a:extLst>
            <a:ext uri="{FF2B5EF4-FFF2-40B4-BE49-F238E27FC236}">
              <a16:creationId xmlns:a16="http://schemas.microsoft.com/office/drawing/2014/main" id="{00000000-0008-0000-0200-00006D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10" name="Text Box 209">
          <a:extLst>
            <a:ext uri="{FF2B5EF4-FFF2-40B4-BE49-F238E27FC236}">
              <a16:creationId xmlns:a16="http://schemas.microsoft.com/office/drawing/2014/main" id="{00000000-0008-0000-0200-00006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1" name="Text Box 210">
          <a:extLst>
            <a:ext uri="{FF2B5EF4-FFF2-40B4-BE49-F238E27FC236}">
              <a16:creationId xmlns:a16="http://schemas.microsoft.com/office/drawing/2014/main" id="{00000000-0008-0000-0200-00006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2" name="Text Box 211">
          <a:extLst>
            <a:ext uri="{FF2B5EF4-FFF2-40B4-BE49-F238E27FC236}">
              <a16:creationId xmlns:a16="http://schemas.microsoft.com/office/drawing/2014/main" id="{00000000-0008-0000-0200-00007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13" name="Text Box 212">
          <a:extLst>
            <a:ext uri="{FF2B5EF4-FFF2-40B4-BE49-F238E27FC236}">
              <a16:creationId xmlns:a16="http://schemas.microsoft.com/office/drawing/2014/main" id="{00000000-0008-0000-0200-00007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4" name="Text Box 213">
          <a:extLst>
            <a:ext uri="{FF2B5EF4-FFF2-40B4-BE49-F238E27FC236}">
              <a16:creationId xmlns:a16="http://schemas.microsoft.com/office/drawing/2014/main" id="{00000000-0008-0000-0200-00007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5" name="Text Box 214">
          <a:extLst>
            <a:ext uri="{FF2B5EF4-FFF2-40B4-BE49-F238E27FC236}">
              <a16:creationId xmlns:a16="http://schemas.microsoft.com/office/drawing/2014/main" id="{00000000-0008-0000-0200-00007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16" name="Text Box 215">
          <a:extLst>
            <a:ext uri="{FF2B5EF4-FFF2-40B4-BE49-F238E27FC236}">
              <a16:creationId xmlns:a16="http://schemas.microsoft.com/office/drawing/2014/main" id="{00000000-0008-0000-0200-00007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7" name="Text Box 216">
          <a:extLst>
            <a:ext uri="{FF2B5EF4-FFF2-40B4-BE49-F238E27FC236}">
              <a16:creationId xmlns:a16="http://schemas.microsoft.com/office/drawing/2014/main" id="{00000000-0008-0000-0200-00007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18" name="Text Box 217">
          <a:extLst>
            <a:ext uri="{FF2B5EF4-FFF2-40B4-BE49-F238E27FC236}">
              <a16:creationId xmlns:a16="http://schemas.microsoft.com/office/drawing/2014/main" id="{00000000-0008-0000-0200-00007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19" name="Text Box 218">
          <a:extLst>
            <a:ext uri="{FF2B5EF4-FFF2-40B4-BE49-F238E27FC236}">
              <a16:creationId xmlns:a16="http://schemas.microsoft.com/office/drawing/2014/main" id="{00000000-0008-0000-0200-000077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0" name="Text Box 219">
          <a:extLst>
            <a:ext uri="{FF2B5EF4-FFF2-40B4-BE49-F238E27FC236}">
              <a16:creationId xmlns:a16="http://schemas.microsoft.com/office/drawing/2014/main" id="{00000000-0008-0000-0200-00007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1" name="Text Box 220">
          <a:extLst>
            <a:ext uri="{FF2B5EF4-FFF2-40B4-BE49-F238E27FC236}">
              <a16:creationId xmlns:a16="http://schemas.microsoft.com/office/drawing/2014/main" id="{00000000-0008-0000-0200-00007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22" name="Text Box 221">
          <a:extLst>
            <a:ext uri="{FF2B5EF4-FFF2-40B4-BE49-F238E27FC236}">
              <a16:creationId xmlns:a16="http://schemas.microsoft.com/office/drawing/2014/main" id="{00000000-0008-0000-0200-00007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3" name="Text Box 222">
          <a:extLst>
            <a:ext uri="{FF2B5EF4-FFF2-40B4-BE49-F238E27FC236}">
              <a16:creationId xmlns:a16="http://schemas.microsoft.com/office/drawing/2014/main" id="{00000000-0008-0000-0200-00007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4" name="Text Box 223">
          <a:extLst>
            <a:ext uri="{FF2B5EF4-FFF2-40B4-BE49-F238E27FC236}">
              <a16:creationId xmlns:a16="http://schemas.microsoft.com/office/drawing/2014/main" id="{00000000-0008-0000-0200-00007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25" name="Text Box 224">
          <a:extLst>
            <a:ext uri="{FF2B5EF4-FFF2-40B4-BE49-F238E27FC236}">
              <a16:creationId xmlns:a16="http://schemas.microsoft.com/office/drawing/2014/main" id="{00000000-0008-0000-0200-00007D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6" name="Text Box 225">
          <a:extLst>
            <a:ext uri="{FF2B5EF4-FFF2-40B4-BE49-F238E27FC236}">
              <a16:creationId xmlns:a16="http://schemas.microsoft.com/office/drawing/2014/main" id="{00000000-0008-0000-0200-00007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27" name="Text Box 226">
          <a:extLst>
            <a:ext uri="{FF2B5EF4-FFF2-40B4-BE49-F238E27FC236}">
              <a16:creationId xmlns:a16="http://schemas.microsoft.com/office/drawing/2014/main" id="{00000000-0008-0000-0200-00007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28" name="Text Box 227">
          <a:extLst>
            <a:ext uri="{FF2B5EF4-FFF2-40B4-BE49-F238E27FC236}">
              <a16:creationId xmlns:a16="http://schemas.microsoft.com/office/drawing/2014/main" id="{00000000-0008-0000-0200-00008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29" name="Text Box 228">
          <a:extLst>
            <a:ext uri="{FF2B5EF4-FFF2-40B4-BE49-F238E27FC236}">
              <a16:creationId xmlns:a16="http://schemas.microsoft.com/office/drawing/2014/main" id="{00000000-0008-0000-0200-000081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0" name="Text Box 229">
          <a:extLst>
            <a:ext uri="{FF2B5EF4-FFF2-40B4-BE49-F238E27FC236}">
              <a16:creationId xmlns:a16="http://schemas.microsoft.com/office/drawing/2014/main" id="{00000000-0008-0000-0200-00008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1" name="Text Box 230">
          <a:extLst>
            <a:ext uri="{FF2B5EF4-FFF2-40B4-BE49-F238E27FC236}">
              <a16:creationId xmlns:a16="http://schemas.microsoft.com/office/drawing/2014/main" id="{00000000-0008-0000-0200-00008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32" name="Text Box 231">
          <a:extLst>
            <a:ext uri="{FF2B5EF4-FFF2-40B4-BE49-F238E27FC236}">
              <a16:creationId xmlns:a16="http://schemas.microsoft.com/office/drawing/2014/main" id="{00000000-0008-0000-0200-000084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3" name="Text Box 232">
          <a:extLst>
            <a:ext uri="{FF2B5EF4-FFF2-40B4-BE49-F238E27FC236}">
              <a16:creationId xmlns:a16="http://schemas.microsoft.com/office/drawing/2014/main" id="{00000000-0008-0000-0200-00008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4" name="Text Box 233">
          <a:extLst>
            <a:ext uri="{FF2B5EF4-FFF2-40B4-BE49-F238E27FC236}">
              <a16:creationId xmlns:a16="http://schemas.microsoft.com/office/drawing/2014/main" id="{00000000-0008-0000-0200-00008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35" name="Text Box 234">
          <a:extLst>
            <a:ext uri="{FF2B5EF4-FFF2-40B4-BE49-F238E27FC236}">
              <a16:creationId xmlns:a16="http://schemas.microsoft.com/office/drawing/2014/main" id="{00000000-0008-0000-0200-000087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6" name="Text Box 235">
          <a:extLst>
            <a:ext uri="{FF2B5EF4-FFF2-40B4-BE49-F238E27FC236}">
              <a16:creationId xmlns:a16="http://schemas.microsoft.com/office/drawing/2014/main" id="{00000000-0008-0000-0200-00008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37" name="Text Box 236">
          <a:extLst>
            <a:ext uri="{FF2B5EF4-FFF2-40B4-BE49-F238E27FC236}">
              <a16:creationId xmlns:a16="http://schemas.microsoft.com/office/drawing/2014/main" id="{00000000-0008-0000-0200-00008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38" name="Text Box 237">
          <a:extLst>
            <a:ext uri="{FF2B5EF4-FFF2-40B4-BE49-F238E27FC236}">
              <a16:creationId xmlns:a16="http://schemas.microsoft.com/office/drawing/2014/main" id="{00000000-0008-0000-0200-00008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39" name="Text Box 238">
          <a:extLst>
            <a:ext uri="{FF2B5EF4-FFF2-40B4-BE49-F238E27FC236}">
              <a16:creationId xmlns:a16="http://schemas.microsoft.com/office/drawing/2014/main" id="{00000000-0008-0000-0200-00008B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0" name="Text Box 239">
          <a:extLst>
            <a:ext uri="{FF2B5EF4-FFF2-40B4-BE49-F238E27FC236}">
              <a16:creationId xmlns:a16="http://schemas.microsoft.com/office/drawing/2014/main" id="{00000000-0008-0000-0200-00008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1" name="Text Box 240">
          <a:extLst>
            <a:ext uri="{FF2B5EF4-FFF2-40B4-BE49-F238E27FC236}">
              <a16:creationId xmlns:a16="http://schemas.microsoft.com/office/drawing/2014/main" id="{00000000-0008-0000-0200-00008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42" name="Text Box 241">
          <a:extLst>
            <a:ext uri="{FF2B5EF4-FFF2-40B4-BE49-F238E27FC236}">
              <a16:creationId xmlns:a16="http://schemas.microsoft.com/office/drawing/2014/main" id="{00000000-0008-0000-0200-00008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3" name="Text Box 242">
          <a:extLst>
            <a:ext uri="{FF2B5EF4-FFF2-40B4-BE49-F238E27FC236}">
              <a16:creationId xmlns:a16="http://schemas.microsoft.com/office/drawing/2014/main" id="{00000000-0008-0000-0200-00008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4" name="Text Box 243">
          <a:extLst>
            <a:ext uri="{FF2B5EF4-FFF2-40B4-BE49-F238E27FC236}">
              <a16:creationId xmlns:a16="http://schemas.microsoft.com/office/drawing/2014/main" id="{00000000-0008-0000-0200-00009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45" name="Text Box 244">
          <a:extLst>
            <a:ext uri="{FF2B5EF4-FFF2-40B4-BE49-F238E27FC236}">
              <a16:creationId xmlns:a16="http://schemas.microsoft.com/office/drawing/2014/main" id="{00000000-0008-0000-0200-00009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6" name="Text Box 245">
          <a:extLst>
            <a:ext uri="{FF2B5EF4-FFF2-40B4-BE49-F238E27FC236}">
              <a16:creationId xmlns:a16="http://schemas.microsoft.com/office/drawing/2014/main" id="{00000000-0008-0000-0200-00009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47" name="Text Box 246">
          <a:extLst>
            <a:ext uri="{FF2B5EF4-FFF2-40B4-BE49-F238E27FC236}">
              <a16:creationId xmlns:a16="http://schemas.microsoft.com/office/drawing/2014/main" id="{00000000-0008-0000-0200-00009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48" name="Text Box 247">
          <a:extLst>
            <a:ext uri="{FF2B5EF4-FFF2-40B4-BE49-F238E27FC236}">
              <a16:creationId xmlns:a16="http://schemas.microsoft.com/office/drawing/2014/main" id="{00000000-0008-0000-0200-00009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49" name="Text Box 248">
          <a:extLst>
            <a:ext uri="{FF2B5EF4-FFF2-40B4-BE49-F238E27FC236}">
              <a16:creationId xmlns:a16="http://schemas.microsoft.com/office/drawing/2014/main" id="{00000000-0008-0000-0200-000095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0" name="Text Box 249">
          <a:extLst>
            <a:ext uri="{FF2B5EF4-FFF2-40B4-BE49-F238E27FC236}">
              <a16:creationId xmlns:a16="http://schemas.microsoft.com/office/drawing/2014/main" id="{00000000-0008-0000-0200-00009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1" name="Text Box 250">
          <a:extLst>
            <a:ext uri="{FF2B5EF4-FFF2-40B4-BE49-F238E27FC236}">
              <a16:creationId xmlns:a16="http://schemas.microsoft.com/office/drawing/2014/main" id="{00000000-0008-0000-0200-00009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52" name="Text Box 251">
          <a:extLst>
            <a:ext uri="{FF2B5EF4-FFF2-40B4-BE49-F238E27FC236}">
              <a16:creationId xmlns:a16="http://schemas.microsoft.com/office/drawing/2014/main" id="{00000000-0008-0000-0200-000098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3" name="Text Box 252">
          <a:extLst>
            <a:ext uri="{FF2B5EF4-FFF2-40B4-BE49-F238E27FC236}">
              <a16:creationId xmlns:a16="http://schemas.microsoft.com/office/drawing/2014/main" id="{00000000-0008-0000-0200-00009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4" name="Text Box 253">
          <a:extLst>
            <a:ext uri="{FF2B5EF4-FFF2-40B4-BE49-F238E27FC236}">
              <a16:creationId xmlns:a16="http://schemas.microsoft.com/office/drawing/2014/main" id="{00000000-0008-0000-0200-00009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55" name="Text Box 254">
          <a:extLst>
            <a:ext uri="{FF2B5EF4-FFF2-40B4-BE49-F238E27FC236}">
              <a16:creationId xmlns:a16="http://schemas.microsoft.com/office/drawing/2014/main" id="{00000000-0008-0000-0200-00009B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6" name="Text Box 255">
          <a:extLst>
            <a:ext uri="{FF2B5EF4-FFF2-40B4-BE49-F238E27FC236}">
              <a16:creationId xmlns:a16="http://schemas.microsoft.com/office/drawing/2014/main" id="{00000000-0008-0000-0200-00009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57" name="Text Box 256">
          <a:extLst>
            <a:ext uri="{FF2B5EF4-FFF2-40B4-BE49-F238E27FC236}">
              <a16:creationId xmlns:a16="http://schemas.microsoft.com/office/drawing/2014/main" id="{00000000-0008-0000-0200-00009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158" name="Text Box 257">
          <a:extLst>
            <a:ext uri="{FF2B5EF4-FFF2-40B4-BE49-F238E27FC236}">
              <a16:creationId xmlns:a16="http://schemas.microsoft.com/office/drawing/2014/main" id="{00000000-0008-0000-0200-00009E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59" name="Text Box 258">
          <a:extLst>
            <a:ext uri="{FF2B5EF4-FFF2-40B4-BE49-F238E27FC236}">
              <a16:creationId xmlns:a16="http://schemas.microsoft.com/office/drawing/2014/main" id="{00000000-0008-0000-0200-00009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0" name="Text Box 259">
          <a:extLst>
            <a:ext uri="{FF2B5EF4-FFF2-40B4-BE49-F238E27FC236}">
              <a16:creationId xmlns:a16="http://schemas.microsoft.com/office/drawing/2014/main" id="{00000000-0008-0000-0200-0000A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1" name="Text Box 260">
          <a:extLst>
            <a:ext uri="{FF2B5EF4-FFF2-40B4-BE49-F238E27FC236}">
              <a16:creationId xmlns:a16="http://schemas.microsoft.com/office/drawing/2014/main" id="{00000000-0008-0000-0200-0000A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62" name="Text Box 261">
          <a:extLst>
            <a:ext uri="{FF2B5EF4-FFF2-40B4-BE49-F238E27FC236}">
              <a16:creationId xmlns:a16="http://schemas.microsoft.com/office/drawing/2014/main" id="{00000000-0008-0000-0200-0000A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3" name="Text Box 262">
          <a:extLst>
            <a:ext uri="{FF2B5EF4-FFF2-40B4-BE49-F238E27FC236}">
              <a16:creationId xmlns:a16="http://schemas.microsoft.com/office/drawing/2014/main" id="{00000000-0008-0000-0200-0000A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4" name="Text Box 263">
          <a:extLst>
            <a:ext uri="{FF2B5EF4-FFF2-40B4-BE49-F238E27FC236}">
              <a16:creationId xmlns:a16="http://schemas.microsoft.com/office/drawing/2014/main" id="{00000000-0008-0000-0200-0000A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65" name="Text Box 264">
          <a:extLst>
            <a:ext uri="{FF2B5EF4-FFF2-40B4-BE49-F238E27FC236}">
              <a16:creationId xmlns:a16="http://schemas.microsoft.com/office/drawing/2014/main" id="{00000000-0008-0000-0200-0000A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6" name="Text Box 265">
          <a:extLst>
            <a:ext uri="{FF2B5EF4-FFF2-40B4-BE49-F238E27FC236}">
              <a16:creationId xmlns:a16="http://schemas.microsoft.com/office/drawing/2014/main" id="{00000000-0008-0000-0200-0000A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67" name="Text Box 266">
          <a:extLst>
            <a:ext uri="{FF2B5EF4-FFF2-40B4-BE49-F238E27FC236}">
              <a16:creationId xmlns:a16="http://schemas.microsoft.com/office/drawing/2014/main" id="{00000000-0008-0000-0200-0000A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68" name="Text Box 267">
          <a:extLst>
            <a:ext uri="{FF2B5EF4-FFF2-40B4-BE49-F238E27FC236}">
              <a16:creationId xmlns:a16="http://schemas.microsoft.com/office/drawing/2014/main" id="{00000000-0008-0000-0200-0000A8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69" name="Text Box 268">
          <a:extLst>
            <a:ext uri="{FF2B5EF4-FFF2-40B4-BE49-F238E27FC236}">
              <a16:creationId xmlns:a16="http://schemas.microsoft.com/office/drawing/2014/main" id="{00000000-0008-0000-0200-0000A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0" name="Text Box 269">
          <a:extLst>
            <a:ext uri="{FF2B5EF4-FFF2-40B4-BE49-F238E27FC236}">
              <a16:creationId xmlns:a16="http://schemas.microsoft.com/office/drawing/2014/main" id="{00000000-0008-0000-0200-0000A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1" name="Text Box 270">
          <a:extLst>
            <a:ext uri="{FF2B5EF4-FFF2-40B4-BE49-F238E27FC236}">
              <a16:creationId xmlns:a16="http://schemas.microsoft.com/office/drawing/2014/main" id="{00000000-0008-0000-0200-0000A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72" name="Text Box 271">
          <a:extLst>
            <a:ext uri="{FF2B5EF4-FFF2-40B4-BE49-F238E27FC236}">
              <a16:creationId xmlns:a16="http://schemas.microsoft.com/office/drawing/2014/main" id="{00000000-0008-0000-0200-0000A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3" name="Text Box 272">
          <a:extLst>
            <a:ext uri="{FF2B5EF4-FFF2-40B4-BE49-F238E27FC236}">
              <a16:creationId xmlns:a16="http://schemas.microsoft.com/office/drawing/2014/main" id="{00000000-0008-0000-0200-0000A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4" name="Text Box 273">
          <a:extLst>
            <a:ext uri="{FF2B5EF4-FFF2-40B4-BE49-F238E27FC236}">
              <a16:creationId xmlns:a16="http://schemas.microsoft.com/office/drawing/2014/main" id="{00000000-0008-0000-0200-0000A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75" name="Text Box 274">
          <a:extLst>
            <a:ext uri="{FF2B5EF4-FFF2-40B4-BE49-F238E27FC236}">
              <a16:creationId xmlns:a16="http://schemas.microsoft.com/office/drawing/2014/main" id="{00000000-0008-0000-0200-0000A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6" name="Text Box 275">
          <a:extLst>
            <a:ext uri="{FF2B5EF4-FFF2-40B4-BE49-F238E27FC236}">
              <a16:creationId xmlns:a16="http://schemas.microsoft.com/office/drawing/2014/main" id="{00000000-0008-0000-0200-0000B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77" name="Text Box 276">
          <a:extLst>
            <a:ext uri="{FF2B5EF4-FFF2-40B4-BE49-F238E27FC236}">
              <a16:creationId xmlns:a16="http://schemas.microsoft.com/office/drawing/2014/main" id="{00000000-0008-0000-0200-0000B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178" name="Text Box 277">
          <a:extLst>
            <a:ext uri="{FF2B5EF4-FFF2-40B4-BE49-F238E27FC236}">
              <a16:creationId xmlns:a16="http://schemas.microsoft.com/office/drawing/2014/main" id="{00000000-0008-0000-0200-0000B2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79" name="Text Box 278">
          <a:extLst>
            <a:ext uri="{FF2B5EF4-FFF2-40B4-BE49-F238E27FC236}">
              <a16:creationId xmlns:a16="http://schemas.microsoft.com/office/drawing/2014/main" id="{00000000-0008-0000-0200-0000B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0" name="Text Box 279">
          <a:extLst>
            <a:ext uri="{FF2B5EF4-FFF2-40B4-BE49-F238E27FC236}">
              <a16:creationId xmlns:a16="http://schemas.microsoft.com/office/drawing/2014/main" id="{00000000-0008-0000-0200-0000B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1" name="Text Box 280">
          <a:extLst>
            <a:ext uri="{FF2B5EF4-FFF2-40B4-BE49-F238E27FC236}">
              <a16:creationId xmlns:a16="http://schemas.microsoft.com/office/drawing/2014/main" id="{00000000-0008-0000-0200-0000B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82" name="Text Box 281">
          <a:extLst>
            <a:ext uri="{FF2B5EF4-FFF2-40B4-BE49-F238E27FC236}">
              <a16:creationId xmlns:a16="http://schemas.microsoft.com/office/drawing/2014/main" id="{00000000-0008-0000-0200-0000B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3" name="Text Box 282">
          <a:extLst>
            <a:ext uri="{FF2B5EF4-FFF2-40B4-BE49-F238E27FC236}">
              <a16:creationId xmlns:a16="http://schemas.microsoft.com/office/drawing/2014/main" id="{00000000-0008-0000-0200-0000B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4" name="Text Box 283">
          <a:extLst>
            <a:ext uri="{FF2B5EF4-FFF2-40B4-BE49-F238E27FC236}">
              <a16:creationId xmlns:a16="http://schemas.microsoft.com/office/drawing/2014/main" id="{00000000-0008-0000-0200-0000B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85" name="Text Box 284">
          <a:extLst>
            <a:ext uri="{FF2B5EF4-FFF2-40B4-BE49-F238E27FC236}">
              <a16:creationId xmlns:a16="http://schemas.microsoft.com/office/drawing/2014/main" id="{00000000-0008-0000-0200-0000B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6" name="Text Box 285">
          <a:extLst>
            <a:ext uri="{FF2B5EF4-FFF2-40B4-BE49-F238E27FC236}">
              <a16:creationId xmlns:a16="http://schemas.microsoft.com/office/drawing/2014/main" id="{00000000-0008-0000-0200-0000B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7" name="Text Box 286">
          <a:extLst>
            <a:ext uri="{FF2B5EF4-FFF2-40B4-BE49-F238E27FC236}">
              <a16:creationId xmlns:a16="http://schemas.microsoft.com/office/drawing/2014/main" id="{00000000-0008-0000-0200-0000B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88" name="Text Box 287">
          <a:extLst>
            <a:ext uri="{FF2B5EF4-FFF2-40B4-BE49-F238E27FC236}">
              <a16:creationId xmlns:a16="http://schemas.microsoft.com/office/drawing/2014/main" id="{00000000-0008-0000-0200-0000B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89" name="Text Box 288">
          <a:extLst>
            <a:ext uri="{FF2B5EF4-FFF2-40B4-BE49-F238E27FC236}">
              <a16:creationId xmlns:a16="http://schemas.microsoft.com/office/drawing/2014/main" id="{00000000-0008-0000-0200-0000B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0" name="Text Box 289">
          <a:extLst>
            <a:ext uri="{FF2B5EF4-FFF2-40B4-BE49-F238E27FC236}">
              <a16:creationId xmlns:a16="http://schemas.microsoft.com/office/drawing/2014/main" id="{00000000-0008-0000-0200-0000B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91" name="Text Box 290">
          <a:extLst>
            <a:ext uri="{FF2B5EF4-FFF2-40B4-BE49-F238E27FC236}">
              <a16:creationId xmlns:a16="http://schemas.microsoft.com/office/drawing/2014/main" id="{00000000-0008-0000-0200-0000B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2" name="Text Box 291">
          <a:extLst>
            <a:ext uri="{FF2B5EF4-FFF2-40B4-BE49-F238E27FC236}">
              <a16:creationId xmlns:a16="http://schemas.microsoft.com/office/drawing/2014/main" id="{00000000-0008-0000-0200-0000C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3" name="Text Box 292">
          <a:extLst>
            <a:ext uri="{FF2B5EF4-FFF2-40B4-BE49-F238E27FC236}">
              <a16:creationId xmlns:a16="http://schemas.microsoft.com/office/drawing/2014/main" id="{00000000-0008-0000-0200-0000C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94" name="Text Box 293">
          <a:extLst>
            <a:ext uri="{FF2B5EF4-FFF2-40B4-BE49-F238E27FC236}">
              <a16:creationId xmlns:a16="http://schemas.microsoft.com/office/drawing/2014/main" id="{00000000-0008-0000-0200-0000C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5" name="Text Box 294">
          <a:extLst>
            <a:ext uri="{FF2B5EF4-FFF2-40B4-BE49-F238E27FC236}">
              <a16:creationId xmlns:a16="http://schemas.microsoft.com/office/drawing/2014/main" id="{00000000-0008-0000-0200-0000C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6" name="Text Box 295">
          <a:extLst>
            <a:ext uri="{FF2B5EF4-FFF2-40B4-BE49-F238E27FC236}">
              <a16:creationId xmlns:a16="http://schemas.microsoft.com/office/drawing/2014/main" id="{00000000-0008-0000-0200-0000C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97" name="Text Box 296">
          <a:extLst>
            <a:ext uri="{FF2B5EF4-FFF2-40B4-BE49-F238E27FC236}">
              <a16:creationId xmlns:a16="http://schemas.microsoft.com/office/drawing/2014/main" id="{00000000-0008-0000-0200-0000C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198" name="Text Box 297">
          <a:extLst>
            <a:ext uri="{FF2B5EF4-FFF2-40B4-BE49-F238E27FC236}">
              <a16:creationId xmlns:a16="http://schemas.microsoft.com/office/drawing/2014/main" id="{00000000-0008-0000-0200-0000C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199" name="Text Box 298">
          <a:extLst>
            <a:ext uri="{FF2B5EF4-FFF2-40B4-BE49-F238E27FC236}">
              <a16:creationId xmlns:a16="http://schemas.microsoft.com/office/drawing/2014/main" id="{00000000-0008-0000-0200-0000C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0" name="Text Box 299">
          <a:extLst>
            <a:ext uri="{FF2B5EF4-FFF2-40B4-BE49-F238E27FC236}">
              <a16:creationId xmlns:a16="http://schemas.microsoft.com/office/drawing/2014/main" id="{00000000-0008-0000-0200-0000C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01" name="Text Box 300">
          <a:extLst>
            <a:ext uri="{FF2B5EF4-FFF2-40B4-BE49-F238E27FC236}">
              <a16:creationId xmlns:a16="http://schemas.microsoft.com/office/drawing/2014/main" id="{00000000-0008-0000-0200-0000C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2" name="Text Box 301">
          <a:extLst>
            <a:ext uri="{FF2B5EF4-FFF2-40B4-BE49-F238E27FC236}">
              <a16:creationId xmlns:a16="http://schemas.microsoft.com/office/drawing/2014/main" id="{00000000-0008-0000-0200-0000C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3" name="Text Box 302">
          <a:extLst>
            <a:ext uri="{FF2B5EF4-FFF2-40B4-BE49-F238E27FC236}">
              <a16:creationId xmlns:a16="http://schemas.microsoft.com/office/drawing/2014/main" id="{00000000-0008-0000-0200-0000C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04" name="Text Box 303">
          <a:extLst>
            <a:ext uri="{FF2B5EF4-FFF2-40B4-BE49-F238E27FC236}">
              <a16:creationId xmlns:a16="http://schemas.microsoft.com/office/drawing/2014/main" id="{00000000-0008-0000-0200-0000C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5" name="Text Box 304">
          <a:extLst>
            <a:ext uri="{FF2B5EF4-FFF2-40B4-BE49-F238E27FC236}">
              <a16:creationId xmlns:a16="http://schemas.microsoft.com/office/drawing/2014/main" id="{00000000-0008-0000-0200-0000C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6" name="Text Box 305">
          <a:extLst>
            <a:ext uri="{FF2B5EF4-FFF2-40B4-BE49-F238E27FC236}">
              <a16:creationId xmlns:a16="http://schemas.microsoft.com/office/drawing/2014/main" id="{00000000-0008-0000-0200-0000C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07" name="Text Box 306">
          <a:extLst>
            <a:ext uri="{FF2B5EF4-FFF2-40B4-BE49-F238E27FC236}">
              <a16:creationId xmlns:a16="http://schemas.microsoft.com/office/drawing/2014/main" id="{00000000-0008-0000-0200-0000C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8" name="Text Box 307">
          <a:extLst>
            <a:ext uri="{FF2B5EF4-FFF2-40B4-BE49-F238E27FC236}">
              <a16:creationId xmlns:a16="http://schemas.microsoft.com/office/drawing/2014/main" id="{00000000-0008-0000-0200-0000D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09" name="Text Box 308">
          <a:extLst>
            <a:ext uri="{FF2B5EF4-FFF2-40B4-BE49-F238E27FC236}">
              <a16:creationId xmlns:a16="http://schemas.microsoft.com/office/drawing/2014/main" id="{00000000-0008-0000-0200-0000D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0" name="Text Box 309">
          <a:extLst>
            <a:ext uri="{FF2B5EF4-FFF2-40B4-BE49-F238E27FC236}">
              <a16:creationId xmlns:a16="http://schemas.microsoft.com/office/drawing/2014/main" id="{00000000-0008-0000-0200-0000D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1" name="Text Box 310">
          <a:extLst>
            <a:ext uri="{FF2B5EF4-FFF2-40B4-BE49-F238E27FC236}">
              <a16:creationId xmlns:a16="http://schemas.microsoft.com/office/drawing/2014/main" id="{00000000-0008-0000-0200-0000D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2" name="Text Box 311">
          <a:extLst>
            <a:ext uri="{FF2B5EF4-FFF2-40B4-BE49-F238E27FC236}">
              <a16:creationId xmlns:a16="http://schemas.microsoft.com/office/drawing/2014/main" id="{00000000-0008-0000-0200-0000D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3" name="Text Box 312">
          <a:extLst>
            <a:ext uri="{FF2B5EF4-FFF2-40B4-BE49-F238E27FC236}">
              <a16:creationId xmlns:a16="http://schemas.microsoft.com/office/drawing/2014/main" id="{00000000-0008-0000-0200-0000D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4" name="Text Box 313">
          <a:extLst>
            <a:ext uri="{FF2B5EF4-FFF2-40B4-BE49-F238E27FC236}">
              <a16:creationId xmlns:a16="http://schemas.microsoft.com/office/drawing/2014/main" id="{00000000-0008-0000-0200-0000D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5" name="Text Box 314">
          <a:extLst>
            <a:ext uri="{FF2B5EF4-FFF2-40B4-BE49-F238E27FC236}">
              <a16:creationId xmlns:a16="http://schemas.microsoft.com/office/drawing/2014/main" id="{00000000-0008-0000-0200-0000D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6" name="Text Box 315">
          <a:extLst>
            <a:ext uri="{FF2B5EF4-FFF2-40B4-BE49-F238E27FC236}">
              <a16:creationId xmlns:a16="http://schemas.microsoft.com/office/drawing/2014/main" id="{00000000-0008-0000-0200-0000D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7" name="Text Box 316">
          <a:extLst>
            <a:ext uri="{FF2B5EF4-FFF2-40B4-BE49-F238E27FC236}">
              <a16:creationId xmlns:a16="http://schemas.microsoft.com/office/drawing/2014/main" id="{00000000-0008-0000-0200-0000D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8" name="Text Box 317">
          <a:extLst>
            <a:ext uri="{FF2B5EF4-FFF2-40B4-BE49-F238E27FC236}">
              <a16:creationId xmlns:a16="http://schemas.microsoft.com/office/drawing/2014/main" id="{00000000-0008-0000-0200-0000D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19" name="Text Box 318">
          <a:extLst>
            <a:ext uri="{FF2B5EF4-FFF2-40B4-BE49-F238E27FC236}">
              <a16:creationId xmlns:a16="http://schemas.microsoft.com/office/drawing/2014/main" id="{00000000-0008-0000-0200-0000D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0" name="Text Box 319">
          <a:extLst>
            <a:ext uri="{FF2B5EF4-FFF2-40B4-BE49-F238E27FC236}">
              <a16:creationId xmlns:a16="http://schemas.microsoft.com/office/drawing/2014/main" id="{00000000-0008-0000-0200-0000D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1" name="Text Box 320">
          <a:extLst>
            <a:ext uri="{FF2B5EF4-FFF2-40B4-BE49-F238E27FC236}">
              <a16:creationId xmlns:a16="http://schemas.microsoft.com/office/drawing/2014/main" id="{00000000-0008-0000-0200-0000D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2" name="Text Box 321">
          <a:extLst>
            <a:ext uri="{FF2B5EF4-FFF2-40B4-BE49-F238E27FC236}">
              <a16:creationId xmlns:a16="http://schemas.microsoft.com/office/drawing/2014/main" id="{00000000-0008-0000-0200-0000D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3" name="Text Box 322">
          <a:extLst>
            <a:ext uri="{FF2B5EF4-FFF2-40B4-BE49-F238E27FC236}">
              <a16:creationId xmlns:a16="http://schemas.microsoft.com/office/drawing/2014/main" id="{00000000-0008-0000-0200-0000D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4" name="Text Box 323">
          <a:extLst>
            <a:ext uri="{FF2B5EF4-FFF2-40B4-BE49-F238E27FC236}">
              <a16:creationId xmlns:a16="http://schemas.microsoft.com/office/drawing/2014/main" id="{00000000-0008-0000-0200-0000E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5" name="Text Box 324">
          <a:extLst>
            <a:ext uri="{FF2B5EF4-FFF2-40B4-BE49-F238E27FC236}">
              <a16:creationId xmlns:a16="http://schemas.microsoft.com/office/drawing/2014/main" id="{00000000-0008-0000-0200-0000E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6" name="Text Box 325">
          <a:extLst>
            <a:ext uri="{FF2B5EF4-FFF2-40B4-BE49-F238E27FC236}">
              <a16:creationId xmlns:a16="http://schemas.microsoft.com/office/drawing/2014/main" id="{00000000-0008-0000-0200-0000E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7" name="Text Box 326">
          <a:extLst>
            <a:ext uri="{FF2B5EF4-FFF2-40B4-BE49-F238E27FC236}">
              <a16:creationId xmlns:a16="http://schemas.microsoft.com/office/drawing/2014/main" id="{00000000-0008-0000-0200-0000E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8" name="Text Box 327">
          <a:extLst>
            <a:ext uri="{FF2B5EF4-FFF2-40B4-BE49-F238E27FC236}">
              <a16:creationId xmlns:a16="http://schemas.microsoft.com/office/drawing/2014/main" id="{00000000-0008-0000-0200-0000E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29" name="Text Box 328">
          <a:extLst>
            <a:ext uri="{FF2B5EF4-FFF2-40B4-BE49-F238E27FC236}">
              <a16:creationId xmlns:a16="http://schemas.microsoft.com/office/drawing/2014/main" id="{00000000-0008-0000-0200-0000E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0" name="Text Box 329">
          <a:extLst>
            <a:ext uri="{FF2B5EF4-FFF2-40B4-BE49-F238E27FC236}">
              <a16:creationId xmlns:a16="http://schemas.microsoft.com/office/drawing/2014/main" id="{00000000-0008-0000-0200-0000E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1" name="Text Box 330">
          <a:extLst>
            <a:ext uri="{FF2B5EF4-FFF2-40B4-BE49-F238E27FC236}">
              <a16:creationId xmlns:a16="http://schemas.microsoft.com/office/drawing/2014/main" id="{00000000-0008-0000-0200-0000E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2" name="Text Box 331">
          <a:extLst>
            <a:ext uri="{FF2B5EF4-FFF2-40B4-BE49-F238E27FC236}">
              <a16:creationId xmlns:a16="http://schemas.microsoft.com/office/drawing/2014/main" id="{00000000-0008-0000-0200-0000E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3" name="Text Box 332">
          <a:extLst>
            <a:ext uri="{FF2B5EF4-FFF2-40B4-BE49-F238E27FC236}">
              <a16:creationId xmlns:a16="http://schemas.microsoft.com/office/drawing/2014/main" id="{00000000-0008-0000-0200-0000E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4" name="Text Box 333">
          <a:extLst>
            <a:ext uri="{FF2B5EF4-FFF2-40B4-BE49-F238E27FC236}">
              <a16:creationId xmlns:a16="http://schemas.microsoft.com/office/drawing/2014/main" id="{00000000-0008-0000-0200-0000E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5" name="Text Box 334">
          <a:extLst>
            <a:ext uri="{FF2B5EF4-FFF2-40B4-BE49-F238E27FC236}">
              <a16:creationId xmlns:a16="http://schemas.microsoft.com/office/drawing/2014/main" id="{00000000-0008-0000-0200-0000E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36" name="Text Box 335">
          <a:extLst>
            <a:ext uri="{FF2B5EF4-FFF2-40B4-BE49-F238E27FC236}">
              <a16:creationId xmlns:a16="http://schemas.microsoft.com/office/drawing/2014/main" id="{00000000-0008-0000-0200-0000E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37" name="Text Box 336">
          <a:extLst>
            <a:ext uri="{FF2B5EF4-FFF2-40B4-BE49-F238E27FC236}">
              <a16:creationId xmlns:a16="http://schemas.microsoft.com/office/drawing/2014/main" id="{00000000-0008-0000-0200-0000ED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38" name="Text Box 337">
          <a:extLst>
            <a:ext uri="{FF2B5EF4-FFF2-40B4-BE49-F238E27FC236}">
              <a16:creationId xmlns:a16="http://schemas.microsoft.com/office/drawing/2014/main" id="{00000000-0008-0000-0200-0000EE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39" name="Text Box 338">
          <a:extLst>
            <a:ext uri="{FF2B5EF4-FFF2-40B4-BE49-F238E27FC236}">
              <a16:creationId xmlns:a16="http://schemas.microsoft.com/office/drawing/2014/main" id="{00000000-0008-0000-0200-0000E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40" name="Text Box 339">
          <a:extLst>
            <a:ext uri="{FF2B5EF4-FFF2-40B4-BE49-F238E27FC236}">
              <a16:creationId xmlns:a16="http://schemas.microsoft.com/office/drawing/2014/main" id="{00000000-0008-0000-0200-0000F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41" name="Text Box 340">
          <a:extLst>
            <a:ext uri="{FF2B5EF4-FFF2-40B4-BE49-F238E27FC236}">
              <a16:creationId xmlns:a16="http://schemas.microsoft.com/office/drawing/2014/main" id="{00000000-0008-0000-0200-0000F1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42" name="Text Box 341">
          <a:extLst>
            <a:ext uri="{FF2B5EF4-FFF2-40B4-BE49-F238E27FC236}">
              <a16:creationId xmlns:a16="http://schemas.microsoft.com/office/drawing/2014/main" id="{00000000-0008-0000-0200-0000F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43" name="Text Box 342">
          <a:extLst>
            <a:ext uri="{FF2B5EF4-FFF2-40B4-BE49-F238E27FC236}">
              <a16:creationId xmlns:a16="http://schemas.microsoft.com/office/drawing/2014/main" id="{00000000-0008-0000-0200-0000F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44" name="Text Box 343">
          <a:extLst>
            <a:ext uri="{FF2B5EF4-FFF2-40B4-BE49-F238E27FC236}">
              <a16:creationId xmlns:a16="http://schemas.microsoft.com/office/drawing/2014/main" id="{00000000-0008-0000-0200-0000F4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45" name="Text Box 344">
          <a:extLst>
            <a:ext uri="{FF2B5EF4-FFF2-40B4-BE49-F238E27FC236}">
              <a16:creationId xmlns:a16="http://schemas.microsoft.com/office/drawing/2014/main" id="{00000000-0008-0000-0200-0000F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46" name="Text Box 345">
          <a:extLst>
            <a:ext uri="{FF2B5EF4-FFF2-40B4-BE49-F238E27FC236}">
              <a16:creationId xmlns:a16="http://schemas.microsoft.com/office/drawing/2014/main" id="{00000000-0008-0000-0200-0000F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47" name="Text Box 346">
          <a:extLst>
            <a:ext uri="{FF2B5EF4-FFF2-40B4-BE49-F238E27FC236}">
              <a16:creationId xmlns:a16="http://schemas.microsoft.com/office/drawing/2014/main" id="{00000000-0008-0000-0200-0000F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48" name="Text Box 347">
          <a:extLst>
            <a:ext uri="{FF2B5EF4-FFF2-40B4-BE49-F238E27FC236}">
              <a16:creationId xmlns:a16="http://schemas.microsoft.com/office/drawing/2014/main" id="{00000000-0008-0000-0200-0000F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49" name="Text Box 348">
          <a:extLst>
            <a:ext uri="{FF2B5EF4-FFF2-40B4-BE49-F238E27FC236}">
              <a16:creationId xmlns:a16="http://schemas.microsoft.com/office/drawing/2014/main" id="{00000000-0008-0000-0200-0000F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0" name="Text Box 349">
          <a:extLst>
            <a:ext uri="{FF2B5EF4-FFF2-40B4-BE49-F238E27FC236}">
              <a16:creationId xmlns:a16="http://schemas.microsoft.com/office/drawing/2014/main" id="{00000000-0008-0000-0200-0000F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1" name="Text Box 350">
          <a:extLst>
            <a:ext uri="{FF2B5EF4-FFF2-40B4-BE49-F238E27FC236}">
              <a16:creationId xmlns:a16="http://schemas.microsoft.com/office/drawing/2014/main" id="{00000000-0008-0000-0200-0000F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2" name="Text Box 351">
          <a:extLst>
            <a:ext uri="{FF2B5EF4-FFF2-40B4-BE49-F238E27FC236}">
              <a16:creationId xmlns:a16="http://schemas.microsoft.com/office/drawing/2014/main" id="{00000000-0008-0000-0200-0000F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3" name="Text Box 352">
          <a:extLst>
            <a:ext uri="{FF2B5EF4-FFF2-40B4-BE49-F238E27FC236}">
              <a16:creationId xmlns:a16="http://schemas.microsoft.com/office/drawing/2014/main" id="{00000000-0008-0000-0200-0000F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4" name="Text Box 353">
          <a:extLst>
            <a:ext uri="{FF2B5EF4-FFF2-40B4-BE49-F238E27FC236}">
              <a16:creationId xmlns:a16="http://schemas.microsoft.com/office/drawing/2014/main" id="{00000000-0008-0000-0200-0000F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5" name="Text Box 354">
          <a:extLst>
            <a:ext uri="{FF2B5EF4-FFF2-40B4-BE49-F238E27FC236}">
              <a16:creationId xmlns:a16="http://schemas.microsoft.com/office/drawing/2014/main" id="{00000000-0008-0000-0200-0000F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6" name="Text Box 355">
          <a:extLst>
            <a:ext uri="{FF2B5EF4-FFF2-40B4-BE49-F238E27FC236}">
              <a16:creationId xmlns:a16="http://schemas.microsoft.com/office/drawing/2014/main" id="{00000000-0008-0000-0200-00000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7" name="Text Box 356">
          <a:extLst>
            <a:ext uri="{FF2B5EF4-FFF2-40B4-BE49-F238E27FC236}">
              <a16:creationId xmlns:a16="http://schemas.microsoft.com/office/drawing/2014/main" id="{00000000-0008-0000-0200-00000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8" name="Text Box 357">
          <a:extLst>
            <a:ext uri="{FF2B5EF4-FFF2-40B4-BE49-F238E27FC236}">
              <a16:creationId xmlns:a16="http://schemas.microsoft.com/office/drawing/2014/main" id="{00000000-0008-0000-0200-00000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59" name="Text Box 358">
          <a:extLst>
            <a:ext uri="{FF2B5EF4-FFF2-40B4-BE49-F238E27FC236}">
              <a16:creationId xmlns:a16="http://schemas.microsoft.com/office/drawing/2014/main" id="{00000000-0008-0000-0200-00000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0" name="Text Box 359">
          <a:extLst>
            <a:ext uri="{FF2B5EF4-FFF2-40B4-BE49-F238E27FC236}">
              <a16:creationId xmlns:a16="http://schemas.microsoft.com/office/drawing/2014/main" id="{00000000-0008-0000-0200-00000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1" name="Text Box 360">
          <a:extLst>
            <a:ext uri="{FF2B5EF4-FFF2-40B4-BE49-F238E27FC236}">
              <a16:creationId xmlns:a16="http://schemas.microsoft.com/office/drawing/2014/main" id="{00000000-0008-0000-0200-00000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2" name="Text Box 361">
          <a:extLst>
            <a:ext uri="{FF2B5EF4-FFF2-40B4-BE49-F238E27FC236}">
              <a16:creationId xmlns:a16="http://schemas.microsoft.com/office/drawing/2014/main" id="{00000000-0008-0000-0200-00000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3" name="Text Box 362">
          <a:extLst>
            <a:ext uri="{FF2B5EF4-FFF2-40B4-BE49-F238E27FC236}">
              <a16:creationId xmlns:a16="http://schemas.microsoft.com/office/drawing/2014/main" id="{00000000-0008-0000-0200-00000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4" name="Text Box 363">
          <a:extLst>
            <a:ext uri="{FF2B5EF4-FFF2-40B4-BE49-F238E27FC236}">
              <a16:creationId xmlns:a16="http://schemas.microsoft.com/office/drawing/2014/main" id="{00000000-0008-0000-0200-00000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5" name="Text Box 364">
          <a:extLst>
            <a:ext uri="{FF2B5EF4-FFF2-40B4-BE49-F238E27FC236}">
              <a16:creationId xmlns:a16="http://schemas.microsoft.com/office/drawing/2014/main" id="{00000000-0008-0000-0200-00000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6" name="Text Box 365">
          <a:extLst>
            <a:ext uri="{FF2B5EF4-FFF2-40B4-BE49-F238E27FC236}">
              <a16:creationId xmlns:a16="http://schemas.microsoft.com/office/drawing/2014/main" id="{00000000-0008-0000-0200-00000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7" name="Text Box 366">
          <a:extLst>
            <a:ext uri="{FF2B5EF4-FFF2-40B4-BE49-F238E27FC236}">
              <a16:creationId xmlns:a16="http://schemas.microsoft.com/office/drawing/2014/main" id="{00000000-0008-0000-0200-00000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8" name="Text Box 367">
          <a:extLst>
            <a:ext uri="{FF2B5EF4-FFF2-40B4-BE49-F238E27FC236}">
              <a16:creationId xmlns:a16="http://schemas.microsoft.com/office/drawing/2014/main" id="{00000000-0008-0000-0200-00000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69" name="Text Box 368">
          <a:extLst>
            <a:ext uri="{FF2B5EF4-FFF2-40B4-BE49-F238E27FC236}">
              <a16:creationId xmlns:a16="http://schemas.microsoft.com/office/drawing/2014/main" id="{00000000-0008-0000-0200-00000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70" name="Text Box 369">
          <a:extLst>
            <a:ext uri="{FF2B5EF4-FFF2-40B4-BE49-F238E27FC236}">
              <a16:creationId xmlns:a16="http://schemas.microsoft.com/office/drawing/2014/main" id="{00000000-0008-0000-0200-00000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71" name="Text Box 370">
          <a:extLst>
            <a:ext uri="{FF2B5EF4-FFF2-40B4-BE49-F238E27FC236}">
              <a16:creationId xmlns:a16="http://schemas.microsoft.com/office/drawing/2014/main" id="{00000000-0008-0000-0200-00000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72" name="Text Box 371">
          <a:extLst>
            <a:ext uri="{FF2B5EF4-FFF2-40B4-BE49-F238E27FC236}">
              <a16:creationId xmlns:a16="http://schemas.microsoft.com/office/drawing/2014/main" id="{00000000-0008-0000-0200-00001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73" name="Text Box 372">
          <a:extLst>
            <a:ext uri="{FF2B5EF4-FFF2-40B4-BE49-F238E27FC236}">
              <a16:creationId xmlns:a16="http://schemas.microsoft.com/office/drawing/2014/main" id="{00000000-0008-0000-0200-00001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274" name="Text Box 373">
          <a:extLst>
            <a:ext uri="{FF2B5EF4-FFF2-40B4-BE49-F238E27FC236}">
              <a16:creationId xmlns:a16="http://schemas.microsoft.com/office/drawing/2014/main" id="{00000000-0008-0000-0200-00001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275" name="Text Box 374">
          <a:extLst>
            <a:ext uri="{FF2B5EF4-FFF2-40B4-BE49-F238E27FC236}">
              <a16:creationId xmlns:a16="http://schemas.microsoft.com/office/drawing/2014/main" id="{00000000-0008-0000-0200-000013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76" name="Text Box 375">
          <a:extLst>
            <a:ext uri="{FF2B5EF4-FFF2-40B4-BE49-F238E27FC236}">
              <a16:creationId xmlns:a16="http://schemas.microsoft.com/office/drawing/2014/main" id="{00000000-0008-0000-0200-00001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77" name="Text Box 376">
          <a:extLst>
            <a:ext uri="{FF2B5EF4-FFF2-40B4-BE49-F238E27FC236}">
              <a16:creationId xmlns:a16="http://schemas.microsoft.com/office/drawing/2014/main" id="{00000000-0008-0000-0200-00001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278" name="Text Box 377">
          <a:extLst>
            <a:ext uri="{FF2B5EF4-FFF2-40B4-BE49-F238E27FC236}">
              <a16:creationId xmlns:a16="http://schemas.microsoft.com/office/drawing/2014/main" id="{00000000-0008-0000-0200-000016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79" name="Text Box 378">
          <a:extLst>
            <a:ext uri="{FF2B5EF4-FFF2-40B4-BE49-F238E27FC236}">
              <a16:creationId xmlns:a16="http://schemas.microsoft.com/office/drawing/2014/main" id="{00000000-0008-0000-0200-00001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80" name="Text Box 379">
          <a:extLst>
            <a:ext uri="{FF2B5EF4-FFF2-40B4-BE49-F238E27FC236}">
              <a16:creationId xmlns:a16="http://schemas.microsoft.com/office/drawing/2014/main" id="{00000000-0008-0000-0200-00001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281" name="Text Box 380">
          <a:extLst>
            <a:ext uri="{FF2B5EF4-FFF2-40B4-BE49-F238E27FC236}">
              <a16:creationId xmlns:a16="http://schemas.microsoft.com/office/drawing/2014/main" id="{00000000-0008-0000-0200-000019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82" name="Text Box 381">
          <a:extLst>
            <a:ext uri="{FF2B5EF4-FFF2-40B4-BE49-F238E27FC236}">
              <a16:creationId xmlns:a16="http://schemas.microsoft.com/office/drawing/2014/main" id="{00000000-0008-0000-0200-00001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283" name="Text Box 382">
          <a:extLst>
            <a:ext uri="{FF2B5EF4-FFF2-40B4-BE49-F238E27FC236}">
              <a16:creationId xmlns:a16="http://schemas.microsoft.com/office/drawing/2014/main" id="{00000000-0008-0000-0200-00001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4" name="Text Box 383">
          <a:extLst>
            <a:ext uri="{FF2B5EF4-FFF2-40B4-BE49-F238E27FC236}">
              <a16:creationId xmlns:a16="http://schemas.microsoft.com/office/drawing/2014/main" id="{00000000-0008-0000-0200-00001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5" name="Text Box 384">
          <a:extLst>
            <a:ext uri="{FF2B5EF4-FFF2-40B4-BE49-F238E27FC236}">
              <a16:creationId xmlns:a16="http://schemas.microsoft.com/office/drawing/2014/main" id="{00000000-0008-0000-0200-00001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6" name="Text Box 385">
          <a:extLst>
            <a:ext uri="{FF2B5EF4-FFF2-40B4-BE49-F238E27FC236}">
              <a16:creationId xmlns:a16="http://schemas.microsoft.com/office/drawing/2014/main" id="{00000000-0008-0000-0200-00001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7" name="Text Box 386">
          <a:extLst>
            <a:ext uri="{FF2B5EF4-FFF2-40B4-BE49-F238E27FC236}">
              <a16:creationId xmlns:a16="http://schemas.microsoft.com/office/drawing/2014/main" id="{00000000-0008-0000-0200-00001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8" name="Text Box 387">
          <a:extLst>
            <a:ext uri="{FF2B5EF4-FFF2-40B4-BE49-F238E27FC236}">
              <a16:creationId xmlns:a16="http://schemas.microsoft.com/office/drawing/2014/main" id="{00000000-0008-0000-0200-00002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89" name="Text Box 388">
          <a:extLst>
            <a:ext uri="{FF2B5EF4-FFF2-40B4-BE49-F238E27FC236}">
              <a16:creationId xmlns:a16="http://schemas.microsoft.com/office/drawing/2014/main" id="{00000000-0008-0000-0200-00002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0" name="Text Box 389">
          <a:extLst>
            <a:ext uri="{FF2B5EF4-FFF2-40B4-BE49-F238E27FC236}">
              <a16:creationId xmlns:a16="http://schemas.microsoft.com/office/drawing/2014/main" id="{00000000-0008-0000-0200-00002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1" name="Text Box 390">
          <a:extLst>
            <a:ext uri="{FF2B5EF4-FFF2-40B4-BE49-F238E27FC236}">
              <a16:creationId xmlns:a16="http://schemas.microsoft.com/office/drawing/2014/main" id="{00000000-0008-0000-0200-00002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2" name="Text Box 391">
          <a:extLst>
            <a:ext uri="{FF2B5EF4-FFF2-40B4-BE49-F238E27FC236}">
              <a16:creationId xmlns:a16="http://schemas.microsoft.com/office/drawing/2014/main" id="{00000000-0008-0000-0200-00002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3" name="Text Box 392">
          <a:extLst>
            <a:ext uri="{FF2B5EF4-FFF2-40B4-BE49-F238E27FC236}">
              <a16:creationId xmlns:a16="http://schemas.microsoft.com/office/drawing/2014/main" id="{00000000-0008-0000-0200-00002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4" name="Text Box 393">
          <a:extLst>
            <a:ext uri="{FF2B5EF4-FFF2-40B4-BE49-F238E27FC236}">
              <a16:creationId xmlns:a16="http://schemas.microsoft.com/office/drawing/2014/main" id="{00000000-0008-0000-0200-00002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5" name="Text Box 394">
          <a:extLst>
            <a:ext uri="{FF2B5EF4-FFF2-40B4-BE49-F238E27FC236}">
              <a16:creationId xmlns:a16="http://schemas.microsoft.com/office/drawing/2014/main" id="{00000000-0008-0000-0200-00002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6" name="Text Box 395">
          <a:extLst>
            <a:ext uri="{FF2B5EF4-FFF2-40B4-BE49-F238E27FC236}">
              <a16:creationId xmlns:a16="http://schemas.microsoft.com/office/drawing/2014/main" id="{00000000-0008-0000-0200-00002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7" name="Text Box 396">
          <a:extLst>
            <a:ext uri="{FF2B5EF4-FFF2-40B4-BE49-F238E27FC236}">
              <a16:creationId xmlns:a16="http://schemas.microsoft.com/office/drawing/2014/main" id="{00000000-0008-0000-0200-00002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8" name="Text Box 397">
          <a:extLst>
            <a:ext uri="{FF2B5EF4-FFF2-40B4-BE49-F238E27FC236}">
              <a16:creationId xmlns:a16="http://schemas.microsoft.com/office/drawing/2014/main" id="{00000000-0008-0000-0200-00002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299" name="Text Box 398">
          <a:extLst>
            <a:ext uri="{FF2B5EF4-FFF2-40B4-BE49-F238E27FC236}">
              <a16:creationId xmlns:a16="http://schemas.microsoft.com/office/drawing/2014/main" id="{00000000-0008-0000-0200-00002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0" name="Text Box 399">
          <a:extLst>
            <a:ext uri="{FF2B5EF4-FFF2-40B4-BE49-F238E27FC236}">
              <a16:creationId xmlns:a16="http://schemas.microsoft.com/office/drawing/2014/main" id="{00000000-0008-0000-0200-00002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1" name="Text Box 400">
          <a:extLst>
            <a:ext uri="{FF2B5EF4-FFF2-40B4-BE49-F238E27FC236}">
              <a16:creationId xmlns:a16="http://schemas.microsoft.com/office/drawing/2014/main" id="{00000000-0008-0000-0200-00002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2" name="Text Box 401">
          <a:extLst>
            <a:ext uri="{FF2B5EF4-FFF2-40B4-BE49-F238E27FC236}">
              <a16:creationId xmlns:a16="http://schemas.microsoft.com/office/drawing/2014/main" id="{00000000-0008-0000-0200-00002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3" name="Text Box 402">
          <a:extLst>
            <a:ext uri="{FF2B5EF4-FFF2-40B4-BE49-F238E27FC236}">
              <a16:creationId xmlns:a16="http://schemas.microsoft.com/office/drawing/2014/main" id="{00000000-0008-0000-0200-00002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4" name="Text Box 403">
          <a:extLst>
            <a:ext uri="{FF2B5EF4-FFF2-40B4-BE49-F238E27FC236}">
              <a16:creationId xmlns:a16="http://schemas.microsoft.com/office/drawing/2014/main" id="{00000000-0008-0000-0200-00003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5" name="Text Box 404">
          <a:extLst>
            <a:ext uri="{FF2B5EF4-FFF2-40B4-BE49-F238E27FC236}">
              <a16:creationId xmlns:a16="http://schemas.microsoft.com/office/drawing/2014/main" id="{00000000-0008-0000-0200-00003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6" name="Text Box 405">
          <a:extLst>
            <a:ext uri="{FF2B5EF4-FFF2-40B4-BE49-F238E27FC236}">
              <a16:creationId xmlns:a16="http://schemas.microsoft.com/office/drawing/2014/main" id="{00000000-0008-0000-0200-00003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7" name="Text Box 406">
          <a:extLst>
            <a:ext uri="{FF2B5EF4-FFF2-40B4-BE49-F238E27FC236}">
              <a16:creationId xmlns:a16="http://schemas.microsoft.com/office/drawing/2014/main" id="{00000000-0008-0000-0200-00003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8" name="Text Box 407">
          <a:extLst>
            <a:ext uri="{FF2B5EF4-FFF2-40B4-BE49-F238E27FC236}">
              <a16:creationId xmlns:a16="http://schemas.microsoft.com/office/drawing/2014/main" id="{00000000-0008-0000-0200-00003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09" name="Text Box 408">
          <a:extLst>
            <a:ext uri="{FF2B5EF4-FFF2-40B4-BE49-F238E27FC236}">
              <a16:creationId xmlns:a16="http://schemas.microsoft.com/office/drawing/2014/main" id="{00000000-0008-0000-0200-00003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10" name="Text Box 409">
          <a:extLst>
            <a:ext uri="{FF2B5EF4-FFF2-40B4-BE49-F238E27FC236}">
              <a16:creationId xmlns:a16="http://schemas.microsoft.com/office/drawing/2014/main" id="{00000000-0008-0000-0200-00003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311" name="Text Box 410">
          <a:extLst>
            <a:ext uri="{FF2B5EF4-FFF2-40B4-BE49-F238E27FC236}">
              <a16:creationId xmlns:a16="http://schemas.microsoft.com/office/drawing/2014/main" id="{00000000-0008-0000-0200-000037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12" name="Text Box 411">
          <a:extLst>
            <a:ext uri="{FF2B5EF4-FFF2-40B4-BE49-F238E27FC236}">
              <a16:creationId xmlns:a16="http://schemas.microsoft.com/office/drawing/2014/main" id="{00000000-0008-0000-0200-000038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13" name="Text Box 412">
          <a:extLst>
            <a:ext uri="{FF2B5EF4-FFF2-40B4-BE49-F238E27FC236}">
              <a16:creationId xmlns:a16="http://schemas.microsoft.com/office/drawing/2014/main" id="{00000000-0008-0000-0200-00003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14" name="Text Box 413">
          <a:extLst>
            <a:ext uri="{FF2B5EF4-FFF2-40B4-BE49-F238E27FC236}">
              <a16:creationId xmlns:a16="http://schemas.microsoft.com/office/drawing/2014/main" id="{00000000-0008-0000-0200-00003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15" name="Text Box 414">
          <a:extLst>
            <a:ext uri="{FF2B5EF4-FFF2-40B4-BE49-F238E27FC236}">
              <a16:creationId xmlns:a16="http://schemas.microsoft.com/office/drawing/2014/main" id="{00000000-0008-0000-0200-00003B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16" name="Text Box 415">
          <a:extLst>
            <a:ext uri="{FF2B5EF4-FFF2-40B4-BE49-F238E27FC236}">
              <a16:creationId xmlns:a16="http://schemas.microsoft.com/office/drawing/2014/main" id="{00000000-0008-0000-0200-00003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17" name="Text Box 416">
          <a:extLst>
            <a:ext uri="{FF2B5EF4-FFF2-40B4-BE49-F238E27FC236}">
              <a16:creationId xmlns:a16="http://schemas.microsoft.com/office/drawing/2014/main" id="{00000000-0008-0000-0200-00003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18" name="Text Box 417">
          <a:extLst>
            <a:ext uri="{FF2B5EF4-FFF2-40B4-BE49-F238E27FC236}">
              <a16:creationId xmlns:a16="http://schemas.microsoft.com/office/drawing/2014/main" id="{00000000-0008-0000-0200-00003E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19" name="Text Box 418">
          <a:extLst>
            <a:ext uri="{FF2B5EF4-FFF2-40B4-BE49-F238E27FC236}">
              <a16:creationId xmlns:a16="http://schemas.microsoft.com/office/drawing/2014/main" id="{00000000-0008-0000-0200-00003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20" name="Text Box 419">
          <a:extLst>
            <a:ext uri="{FF2B5EF4-FFF2-40B4-BE49-F238E27FC236}">
              <a16:creationId xmlns:a16="http://schemas.microsoft.com/office/drawing/2014/main" id="{00000000-0008-0000-0200-00004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1" name="Text Box 420">
          <a:extLst>
            <a:ext uri="{FF2B5EF4-FFF2-40B4-BE49-F238E27FC236}">
              <a16:creationId xmlns:a16="http://schemas.microsoft.com/office/drawing/2014/main" id="{00000000-0008-0000-0200-00004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2" name="Text Box 421">
          <a:extLst>
            <a:ext uri="{FF2B5EF4-FFF2-40B4-BE49-F238E27FC236}">
              <a16:creationId xmlns:a16="http://schemas.microsoft.com/office/drawing/2014/main" id="{00000000-0008-0000-0200-00004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3" name="Text Box 422">
          <a:extLst>
            <a:ext uri="{FF2B5EF4-FFF2-40B4-BE49-F238E27FC236}">
              <a16:creationId xmlns:a16="http://schemas.microsoft.com/office/drawing/2014/main" id="{00000000-0008-0000-0200-00004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4" name="Text Box 423">
          <a:extLst>
            <a:ext uri="{FF2B5EF4-FFF2-40B4-BE49-F238E27FC236}">
              <a16:creationId xmlns:a16="http://schemas.microsoft.com/office/drawing/2014/main" id="{00000000-0008-0000-0200-00004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5" name="Text Box 424">
          <a:extLst>
            <a:ext uri="{FF2B5EF4-FFF2-40B4-BE49-F238E27FC236}">
              <a16:creationId xmlns:a16="http://schemas.microsoft.com/office/drawing/2014/main" id="{00000000-0008-0000-0200-00004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6" name="Text Box 425">
          <a:extLst>
            <a:ext uri="{FF2B5EF4-FFF2-40B4-BE49-F238E27FC236}">
              <a16:creationId xmlns:a16="http://schemas.microsoft.com/office/drawing/2014/main" id="{00000000-0008-0000-0200-00004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7" name="Text Box 426">
          <a:extLst>
            <a:ext uri="{FF2B5EF4-FFF2-40B4-BE49-F238E27FC236}">
              <a16:creationId xmlns:a16="http://schemas.microsoft.com/office/drawing/2014/main" id="{00000000-0008-0000-0200-00004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8" name="Text Box 427">
          <a:extLst>
            <a:ext uri="{FF2B5EF4-FFF2-40B4-BE49-F238E27FC236}">
              <a16:creationId xmlns:a16="http://schemas.microsoft.com/office/drawing/2014/main" id="{00000000-0008-0000-0200-00004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29" name="Text Box 428">
          <a:extLst>
            <a:ext uri="{FF2B5EF4-FFF2-40B4-BE49-F238E27FC236}">
              <a16:creationId xmlns:a16="http://schemas.microsoft.com/office/drawing/2014/main" id="{00000000-0008-0000-0200-00004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0" name="Text Box 429">
          <a:extLst>
            <a:ext uri="{FF2B5EF4-FFF2-40B4-BE49-F238E27FC236}">
              <a16:creationId xmlns:a16="http://schemas.microsoft.com/office/drawing/2014/main" id="{00000000-0008-0000-0200-00004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1" name="Text Box 430">
          <a:extLst>
            <a:ext uri="{FF2B5EF4-FFF2-40B4-BE49-F238E27FC236}">
              <a16:creationId xmlns:a16="http://schemas.microsoft.com/office/drawing/2014/main" id="{00000000-0008-0000-0200-00004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2" name="Text Box 431">
          <a:extLst>
            <a:ext uri="{FF2B5EF4-FFF2-40B4-BE49-F238E27FC236}">
              <a16:creationId xmlns:a16="http://schemas.microsoft.com/office/drawing/2014/main" id="{00000000-0008-0000-0200-00004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3" name="Text Box 432">
          <a:extLst>
            <a:ext uri="{FF2B5EF4-FFF2-40B4-BE49-F238E27FC236}">
              <a16:creationId xmlns:a16="http://schemas.microsoft.com/office/drawing/2014/main" id="{00000000-0008-0000-0200-00004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4" name="Text Box 433">
          <a:extLst>
            <a:ext uri="{FF2B5EF4-FFF2-40B4-BE49-F238E27FC236}">
              <a16:creationId xmlns:a16="http://schemas.microsoft.com/office/drawing/2014/main" id="{00000000-0008-0000-0200-00004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5" name="Text Box 434">
          <a:extLst>
            <a:ext uri="{FF2B5EF4-FFF2-40B4-BE49-F238E27FC236}">
              <a16:creationId xmlns:a16="http://schemas.microsoft.com/office/drawing/2014/main" id="{00000000-0008-0000-0200-00004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6" name="Text Box 435">
          <a:extLst>
            <a:ext uri="{FF2B5EF4-FFF2-40B4-BE49-F238E27FC236}">
              <a16:creationId xmlns:a16="http://schemas.microsoft.com/office/drawing/2014/main" id="{00000000-0008-0000-0200-00005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7" name="Text Box 436">
          <a:extLst>
            <a:ext uri="{FF2B5EF4-FFF2-40B4-BE49-F238E27FC236}">
              <a16:creationId xmlns:a16="http://schemas.microsoft.com/office/drawing/2014/main" id="{00000000-0008-0000-0200-00005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8" name="Text Box 437">
          <a:extLst>
            <a:ext uri="{FF2B5EF4-FFF2-40B4-BE49-F238E27FC236}">
              <a16:creationId xmlns:a16="http://schemas.microsoft.com/office/drawing/2014/main" id="{00000000-0008-0000-0200-00005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39" name="Text Box 438">
          <a:extLst>
            <a:ext uri="{FF2B5EF4-FFF2-40B4-BE49-F238E27FC236}">
              <a16:creationId xmlns:a16="http://schemas.microsoft.com/office/drawing/2014/main" id="{00000000-0008-0000-0200-00005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0" name="Text Box 439">
          <a:extLst>
            <a:ext uri="{FF2B5EF4-FFF2-40B4-BE49-F238E27FC236}">
              <a16:creationId xmlns:a16="http://schemas.microsoft.com/office/drawing/2014/main" id="{00000000-0008-0000-0200-00005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1" name="Text Box 440">
          <a:extLst>
            <a:ext uri="{FF2B5EF4-FFF2-40B4-BE49-F238E27FC236}">
              <a16:creationId xmlns:a16="http://schemas.microsoft.com/office/drawing/2014/main" id="{00000000-0008-0000-0200-00005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2" name="Text Box 441">
          <a:extLst>
            <a:ext uri="{FF2B5EF4-FFF2-40B4-BE49-F238E27FC236}">
              <a16:creationId xmlns:a16="http://schemas.microsoft.com/office/drawing/2014/main" id="{00000000-0008-0000-0200-00005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3" name="Text Box 442">
          <a:extLst>
            <a:ext uri="{FF2B5EF4-FFF2-40B4-BE49-F238E27FC236}">
              <a16:creationId xmlns:a16="http://schemas.microsoft.com/office/drawing/2014/main" id="{00000000-0008-0000-0200-00005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4" name="Text Box 443">
          <a:extLst>
            <a:ext uri="{FF2B5EF4-FFF2-40B4-BE49-F238E27FC236}">
              <a16:creationId xmlns:a16="http://schemas.microsoft.com/office/drawing/2014/main" id="{00000000-0008-0000-0200-00005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5" name="Text Box 444">
          <a:extLst>
            <a:ext uri="{FF2B5EF4-FFF2-40B4-BE49-F238E27FC236}">
              <a16:creationId xmlns:a16="http://schemas.microsoft.com/office/drawing/2014/main" id="{00000000-0008-0000-0200-00005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6" name="Text Box 445">
          <a:extLst>
            <a:ext uri="{FF2B5EF4-FFF2-40B4-BE49-F238E27FC236}">
              <a16:creationId xmlns:a16="http://schemas.microsoft.com/office/drawing/2014/main" id="{00000000-0008-0000-0200-00005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324</xdr:row>
      <xdr:rowOff>0</xdr:rowOff>
    </xdr:from>
    <xdr:to>
      <xdr:col>2</xdr:col>
      <xdr:colOff>95250</xdr:colOff>
      <xdr:row>324</xdr:row>
      <xdr:rowOff>19050</xdr:rowOff>
    </xdr:to>
    <xdr:sp macro="" textlink="">
      <xdr:nvSpPr>
        <xdr:cNvPr id="347" name="Text Box 446">
          <a:extLst>
            <a:ext uri="{FF2B5EF4-FFF2-40B4-BE49-F238E27FC236}">
              <a16:creationId xmlns:a16="http://schemas.microsoft.com/office/drawing/2014/main" id="{00000000-0008-0000-0200-00005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48" name="Text Box 447">
          <a:extLst>
            <a:ext uri="{FF2B5EF4-FFF2-40B4-BE49-F238E27FC236}">
              <a16:creationId xmlns:a16="http://schemas.microsoft.com/office/drawing/2014/main" id="{00000000-0008-0000-0200-00005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49" name="Text Box 448">
          <a:extLst>
            <a:ext uri="{FF2B5EF4-FFF2-40B4-BE49-F238E27FC236}">
              <a16:creationId xmlns:a16="http://schemas.microsoft.com/office/drawing/2014/main" id="{00000000-0008-0000-0200-00005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0" name="Text Box 449">
          <a:extLst>
            <a:ext uri="{FF2B5EF4-FFF2-40B4-BE49-F238E27FC236}">
              <a16:creationId xmlns:a16="http://schemas.microsoft.com/office/drawing/2014/main" id="{00000000-0008-0000-0200-00005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51" name="Text Box 450">
          <a:extLst>
            <a:ext uri="{FF2B5EF4-FFF2-40B4-BE49-F238E27FC236}">
              <a16:creationId xmlns:a16="http://schemas.microsoft.com/office/drawing/2014/main" id="{00000000-0008-0000-0200-00005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2" name="Text Box 451">
          <a:extLst>
            <a:ext uri="{FF2B5EF4-FFF2-40B4-BE49-F238E27FC236}">
              <a16:creationId xmlns:a16="http://schemas.microsoft.com/office/drawing/2014/main" id="{00000000-0008-0000-0200-00006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3" name="Text Box 452">
          <a:extLst>
            <a:ext uri="{FF2B5EF4-FFF2-40B4-BE49-F238E27FC236}">
              <a16:creationId xmlns:a16="http://schemas.microsoft.com/office/drawing/2014/main" id="{00000000-0008-0000-0200-00006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54" name="Text Box 453">
          <a:extLst>
            <a:ext uri="{FF2B5EF4-FFF2-40B4-BE49-F238E27FC236}">
              <a16:creationId xmlns:a16="http://schemas.microsoft.com/office/drawing/2014/main" id="{00000000-0008-0000-0200-000062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5" name="Text Box 454">
          <a:extLst>
            <a:ext uri="{FF2B5EF4-FFF2-40B4-BE49-F238E27FC236}">
              <a16:creationId xmlns:a16="http://schemas.microsoft.com/office/drawing/2014/main" id="{00000000-0008-0000-0200-00006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6" name="Text Box 455">
          <a:extLst>
            <a:ext uri="{FF2B5EF4-FFF2-40B4-BE49-F238E27FC236}">
              <a16:creationId xmlns:a16="http://schemas.microsoft.com/office/drawing/2014/main" id="{00000000-0008-0000-0200-00006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57" name="Text Box 456">
          <a:extLst>
            <a:ext uri="{FF2B5EF4-FFF2-40B4-BE49-F238E27FC236}">
              <a16:creationId xmlns:a16="http://schemas.microsoft.com/office/drawing/2014/main" id="{00000000-0008-0000-0200-000065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58" name="Text Box 457">
          <a:extLst>
            <a:ext uri="{FF2B5EF4-FFF2-40B4-BE49-F238E27FC236}">
              <a16:creationId xmlns:a16="http://schemas.microsoft.com/office/drawing/2014/main" id="{00000000-0008-0000-0200-00006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59" name="Text Box 458">
          <a:extLst>
            <a:ext uri="{FF2B5EF4-FFF2-40B4-BE49-F238E27FC236}">
              <a16:creationId xmlns:a16="http://schemas.microsoft.com/office/drawing/2014/main" id="{00000000-0008-0000-0200-00006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0" name="Text Box 459">
          <a:extLst>
            <a:ext uri="{FF2B5EF4-FFF2-40B4-BE49-F238E27FC236}">
              <a16:creationId xmlns:a16="http://schemas.microsoft.com/office/drawing/2014/main" id="{00000000-0008-0000-0200-00006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61" name="Text Box 460">
          <a:extLst>
            <a:ext uri="{FF2B5EF4-FFF2-40B4-BE49-F238E27FC236}">
              <a16:creationId xmlns:a16="http://schemas.microsoft.com/office/drawing/2014/main" id="{00000000-0008-0000-0200-00006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2" name="Text Box 461">
          <a:extLst>
            <a:ext uri="{FF2B5EF4-FFF2-40B4-BE49-F238E27FC236}">
              <a16:creationId xmlns:a16="http://schemas.microsoft.com/office/drawing/2014/main" id="{00000000-0008-0000-0200-00006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3" name="Text Box 462">
          <a:extLst>
            <a:ext uri="{FF2B5EF4-FFF2-40B4-BE49-F238E27FC236}">
              <a16:creationId xmlns:a16="http://schemas.microsoft.com/office/drawing/2014/main" id="{00000000-0008-0000-0200-00006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64" name="Text Box 463">
          <a:extLst>
            <a:ext uri="{FF2B5EF4-FFF2-40B4-BE49-F238E27FC236}">
              <a16:creationId xmlns:a16="http://schemas.microsoft.com/office/drawing/2014/main" id="{00000000-0008-0000-0200-00006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5" name="Text Box 464">
          <a:extLst>
            <a:ext uri="{FF2B5EF4-FFF2-40B4-BE49-F238E27FC236}">
              <a16:creationId xmlns:a16="http://schemas.microsoft.com/office/drawing/2014/main" id="{00000000-0008-0000-0200-00006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6" name="Text Box 465">
          <a:extLst>
            <a:ext uri="{FF2B5EF4-FFF2-40B4-BE49-F238E27FC236}">
              <a16:creationId xmlns:a16="http://schemas.microsoft.com/office/drawing/2014/main" id="{00000000-0008-0000-0200-00006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67" name="Text Box 466">
          <a:extLst>
            <a:ext uri="{FF2B5EF4-FFF2-40B4-BE49-F238E27FC236}">
              <a16:creationId xmlns:a16="http://schemas.microsoft.com/office/drawing/2014/main" id="{00000000-0008-0000-0200-00006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68" name="Text Box 467">
          <a:extLst>
            <a:ext uri="{FF2B5EF4-FFF2-40B4-BE49-F238E27FC236}">
              <a16:creationId xmlns:a16="http://schemas.microsoft.com/office/drawing/2014/main" id="{00000000-0008-0000-0200-00007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69" name="Text Box 468">
          <a:extLst>
            <a:ext uri="{FF2B5EF4-FFF2-40B4-BE49-F238E27FC236}">
              <a16:creationId xmlns:a16="http://schemas.microsoft.com/office/drawing/2014/main" id="{00000000-0008-0000-0200-00007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0" name="Text Box 469">
          <a:extLst>
            <a:ext uri="{FF2B5EF4-FFF2-40B4-BE49-F238E27FC236}">
              <a16:creationId xmlns:a16="http://schemas.microsoft.com/office/drawing/2014/main" id="{00000000-0008-0000-0200-00007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71" name="Text Box 470">
          <a:extLst>
            <a:ext uri="{FF2B5EF4-FFF2-40B4-BE49-F238E27FC236}">
              <a16:creationId xmlns:a16="http://schemas.microsoft.com/office/drawing/2014/main" id="{00000000-0008-0000-0200-00007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2" name="Text Box 471">
          <a:extLst>
            <a:ext uri="{FF2B5EF4-FFF2-40B4-BE49-F238E27FC236}">
              <a16:creationId xmlns:a16="http://schemas.microsoft.com/office/drawing/2014/main" id="{00000000-0008-0000-0200-00007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3" name="Text Box 472">
          <a:extLst>
            <a:ext uri="{FF2B5EF4-FFF2-40B4-BE49-F238E27FC236}">
              <a16:creationId xmlns:a16="http://schemas.microsoft.com/office/drawing/2014/main" id="{00000000-0008-0000-0200-00007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74" name="Text Box 473">
          <a:extLst>
            <a:ext uri="{FF2B5EF4-FFF2-40B4-BE49-F238E27FC236}">
              <a16:creationId xmlns:a16="http://schemas.microsoft.com/office/drawing/2014/main" id="{00000000-0008-0000-0200-00007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5" name="Text Box 474">
          <a:extLst>
            <a:ext uri="{FF2B5EF4-FFF2-40B4-BE49-F238E27FC236}">
              <a16:creationId xmlns:a16="http://schemas.microsoft.com/office/drawing/2014/main" id="{00000000-0008-0000-0200-00007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6" name="Text Box 475">
          <a:extLst>
            <a:ext uri="{FF2B5EF4-FFF2-40B4-BE49-F238E27FC236}">
              <a16:creationId xmlns:a16="http://schemas.microsoft.com/office/drawing/2014/main" id="{00000000-0008-0000-0200-00007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377" name="Text Box 476">
          <a:extLst>
            <a:ext uri="{FF2B5EF4-FFF2-40B4-BE49-F238E27FC236}">
              <a16:creationId xmlns:a16="http://schemas.microsoft.com/office/drawing/2014/main" id="{00000000-0008-0000-0200-00007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8" name="Text Box 477">
          <a:extLst>
            <a:ext uri="{FF2B5EF4-FFF2-40B4-BE49-F238E27FC236}">
              <a16:creationId xmlns:a16="http://schemas.microsoft.com/office/drawing/2014/main" id="{00000000-0008-0000-0200-00007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79" name="Text Box 478">
          <a:extLst>
            <a:ext uri="{FF2B5EF4-FFF2-40B4-BE49-F238E27FC236}">
              <a16:creationId xmlns:a16="http://schemas.microsoft.com/office/drawing/2014/main" id="{00000000-0008-0000-0200-00007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80" name="Text Box 479">
          <a:extLst>
            <a:ext uri="{FF2B5EF4-FFF2-40B4-BE49-F238E27FC236}">
              <a16:creationId xmlns:a16="http://schemas.microsoft.com/office/drawing/2014/main" id="{00000000-0008-0000-0200-00007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1" name="Text Box 480">
          <a:extLst>
            <a:ext uri="{FF2B5EF4-FFF2-40B4-BE49-F238E27FC236}">
              <a16:creationId xmlns:a16="http://schemas.microsoft.com/office/drawing/2014/main" id="{00000000-0008-0000-0200-00007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2" name="Text Box 481">
          <a:extLst>
            <a:ext uri="{FF2B5EF4-FFF2-40B4-BE49-F238E27FC236}">
              <a16:creationId xmlns:a16="http://schemas.microsoft.com/office/drawing/2014/main" id="{00000000-0008-0000-0200-00007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83" name="Text Box 482">
          <a:extLst>
            <a:ext uri="{FF2B5EF4-FFF2-40B4-BE49-F238E27FC236}">
              <a16:creationId xmlns:a16="http://schemas.microsoft.com/office/drawing/2014/main" id="{00000000-0008-0000-0200-00007F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4" name="Text Box 483">
          <a:extLst>
            <a:ext uri="{FF2B5EF4-FFF2-40B4-BE49-F238E27FC236}">
              <a16:creationId xmlns:a16="http://schemas.microsoft.com/office/drawing/2014/main" id="{00000000-0008-0000-0200-00008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5" name="Text Box 484">
          <a:extLst>
            <a:ext uri="{FF2B5EF4-FFF2-40B4-BE49-F238E27FC236}">
              <a16:creationId xmlns:a16="http://schemas.microsoft.com/office/drawing/2014/main" id="{00000000-0008-0000-0200-00008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86" name="Text Box 485">
          <a:extLst>
            <a:ext uri="{FF2B5EF4-FFF2-40B4-BE49-F238E27FC236}">
              <a16:creationId xmlns:a16="http://schemas.microsoft.com/office/drawing/2014/main" id="{00000000-0008-0000-0200-000082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87" name="Text Box 486">
          <a:extLst>
            <a:ext uri="{FF2B5EF4-FFF2-40B4-BE49-F238E27FC236}">
              <a16:creationId xmlns:a16="http://schemas.microsoft.com/office/drawing/2014/main" id="{00000000-0008-0000-0200-00008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8" name="Text Box 487">
          <a:extLst>
            <a:ext uri="{FF2B5EF4-FFF2-40B4-BE49-F238E27FC236}">
              <a16:creationId xmlns:a16="http://schemas.microsoft.com/office/drawing/2014/main" id="{00000000-0008-0000-0200-00008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89" name="Text Box 488">
          <a:extLst>
            <a:ext uri="{FF2B5EF4-FFF2-40B4-BE49-F238E27FC236}">
              <a16:creationId xmlns:a16="http://schemas.microsoft.com/office/drawing/2014/main" id="{00000000-0008-0000-0200-00008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90" name="Text Box 489">
          <a:extLst>
            <a:ext uri="{FF2B5EF4-FFF2-40B4-BE49-F238E27FC236}">
              <a16:creationId xmlns:a16="http://schemas.microsoft.com/office/drawing/2014/main" id="{00000000-0008-0000-0200-00008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1" name="Text Box 490">
          <a:extLst>
            <a:ext uri="{FF2B5EF4-FFF2-40B4-BE49-F238E27FC236}">
              <a16:creationId xmlns:a16="http://schemas.microsoft.com/office/drawing/2014/main" id="{00000000-0008-0000-0200-00008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2" name="Text Box 491">
          <a:extLst>
            <a:ext uri="{FF2B5EF4-FFF2-40B4-BE49-F238E27FC236}">
              <a16:creationId xmlns:a16="http://schemas.microsoft.com/office/drawing/2014/main" id="{00000000-0008-0000-0200-00008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93" name="Text Box 492">
          <a:extLst>
            <a:ext uri="{FF2B5EF4-FFF2-40B4-BE49-F238E27FC236}">
              <a16:creationId xmlns:a16="http://schemas.microsoft.com/office/drawing/2014/main" id="{00000000-0008-0000-0200-000089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4" name="Text Box 493">
          <a:extLst>
            <a:ext uri="{FF2B5EF4-FFF2-40B4-BE49-F238E27FC236}">
              <a16:creationId xmlns:a16="http://schemas.microsoft.com/office/drawing/2014/main" id="{00000000-0008-0000-0200-00008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5" name="Text Box 494">
          <a:extLst>
            <a:ext uri="{FF2B5EF4-FFF2-40B4-BE49-F238E27FC236}">
              <a16:creationId xmlns:a16="http://schemas.microsoft.com/office/drawing/2014/main" id="{00000000-0008-0000-0200-00008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96" name="Text Box 495">
          <a:extLst>
            <a:ext uri="{FF2B5EF4-FFF2-40B4-BE49-F238E27FC236}">
              <a16:creationId xmlns:a16="http://schemas.microsoft.com/office/drawing/2014/main" id="{00000000-0008-0000-0200-00008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397" name="Text Box 496">
          <a:extLst>
            <a:ext uri="{FF2B5EF4-FFF2-40B4-BE49-F238E27FC236}">
              <a16:creationId xmlns:a16="http://schemas.microsoft.com/office/drawing/2014/main" id="{00000000-0008-0000-0200-00008D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8" name="Text Box 497">
          <a:extLst>
            <a:ext uri="{FF2B5EF4-FFF2-40B4-BE49-F238E27FC236}">
              <a16:creationId xmlns:a16="http://schemas.microsoft.com/office/drawing/2014/main" id="{00000000-0008-0000-0200-00008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399" name="Text Box 498">
          <a:extLst>
            <a:ext uri="{FF2B5EF4-FFF2-40B4-BE49-F238E27FC236}">
              <a16:creationId xmlns:a16="http://schemas.microsoft.com/office/drawing/2014/main" id="{00000000-0008-0000-0200-00008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400" name="Text Box 499">
          <a:extLst>
            <a:ext uri="{FF2B5EF4-FFF2-40B4-BE49-F238E27FC236}">
              <a16:creationId xmlns:a16="http://schemas.microsoft.com/office/drawing/2014/main" id="{00000000-0008-0000-0200-000090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1" name="Text Box 500">
          <a:extLst>
            <a:ext uri="{FF2B5EF4-FFF2-40B4-BE49-F238E27FC236}">
              <a16:creationId xmlns:a16="http://schemas.microsoft.com/office/drawing/2014/main" id="{00000000-0008-0000-0200-00009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2" name="Text Box 501">
          <a:extLst>
            <a:ext uri="{FF2B5EF4-FFF2-40B4-BE49-F238E27FC236}">
              <a16:creationId xmlns:a16="http://schemas.microsoft.com/office/drawing/2014/main" id="{00000000-0008-0000-0200-00009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403" name="Text Box 502">
          <a:extLst>
            <a:ext uri="{FF2B5EF4-FFF2-40B4-BE49-F238E27FC236}">
              <a16:creationId xmlns:a16="http://schemas.microsoft.com/office/drawing/2014/main" id="{00000000-0008-0000-0200-00009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4" name="Text Box 503">
          <a:extLst>
            <a:ext uri="{FF2B5EF4-FFF2-40B4-BE49-F238E27FC236}">
              <a16:creationId xmlns:a16="http://schemas.microsoft.com/office/drawing/2014/main" id="{00000000-0008-0000-0200-00009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5" name="Text Box 504">
          <a:extLst>
            <a:ext uri="{FF2B5EF4-FFF2-40B4-BE49-F238E27FC236}">
              <a16:creationId xmlns:a16="http://schemas.microsoft.com/office/drawing/2014/main" id="{00000000-0008-0000-0200-00009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28577</xdr:rowOff>
    </xdr:to>
    <xdr:sp macro="" textlink="">
      <xdr:nvSpPr>
        <xdr:cNvPr id="406" name="Text Box 505">
          <a:extLst>
            <a:ext uri="{FF2B5EF4-FFF2-40B4-BE49-F238E27FC236}">
              <a16:creationId xmlns:a16="http://schemas.microsoft.com/office/drawing/2014/main" id="{00000000-0008-0000-0200-00009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7" name="Text Box 506">
          <a:extLst>
            <a:ext uri="{FF2B5EF4-FFF2-40B4-BE49-F238E27FC236}">
              <a16:creationId xmlns:a16="http://schemas.microsoft.com/office/drawing/2014/main" id="{00000000-0008-0000-0200-00009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08" name="Text Box 507">
          <a:extLst>
            <a:ext uri="{FF2B5EF4-FFF2-40B4-BE49-F238E27FC236}">
              <a16:creationId xmlns:a16="http://schemas.microsoft.com/office/drawing/2014/main" id="{00000000-0008-0000-0200-00009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09" name="Text Box 508">
          <a:extLst>
            <a:ext uri="{FF2B5EF4-FFF2-40B4-BE49-F238E27FC236}">
              <a16:creationId xmlns:a16="http://schemas.microsoft.com/office/drawing/2014/main" id="{00000000-0008-0000-0200-00009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0" name="Text Box 509">
          <a:extLst>
            <a:ext uri="{FF2B5EF4-FFF2-40B4-BE49-F238E27FC236}">
              <a16:creationId xmlns:a16="http://schemas.microsoft.com/office/drawing/2014/main" id="{00000000-0008-0000-0200-00009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1" name="Text Box 510">
          <a:extLst>
            <a:ext uri="{FF2B5EF4-FFF2-40B4-BE49-F238E27FC236}">
              <a16:creationId xmlns:a16="http://schemas.microsoft.com/office/drawing/2014/main" id="{00000000-0008-0000-0200-00009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12" name="Text Box 511">
          <a:extLst>
            <a:ext uri="{FF2B5EF4-FFF2-40B4-BE49-F238E27FC236}">
              <a16:creationId xmlns:a16="http://schemas.microsoft.com/office/drawing/2014/main" id="{00000000-0008-0000-0200-00009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3" name="Text Box 512">
          <a:extLst>
            <a:ext uri="{FF2B5EF4-FFF2-40B4-BE49-F238E27FC236}">
              <a16:creationId xmlns:a16="http://schemas.microsoft.com/office/drawing/2014/main" id="{00000000-0008-0000-0200-00009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4" name="Text Box 513">
          <a:extLst>
            <a:ext uri="{FF2B5EF4-FFF2-40B4-BE49-F238E27FC236}">
              <a16:creationId xmlns:a16="http://schemas.microsoft.com/office/drawing/2014/main" id="{00000000-0008-0000-0200-00009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15" name="Text Box 514">
          <a:extLst>
            <a:ext uri="{FF2B5EF4-FFF2-40B4-BE49-F238E27FC236}">
              <a16:creationId xmlns:a16="http://schemas.microsoft.com/office/drawing/2014/main" id="{00000000-0008-0000-0200-00009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16" name="Text Box 515">
          <a:extLst>
            <a:ext uri="{FF2B5EF4-FFF2-40B4-BE49-F238E27FC236}">
              <a16:creationId xmlns:a16="http://schemas.microsoft.com/office/drawing/2014/main" id="{00000000-0008-0000-0200-0000A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7" name="Text Box 516">
          <a:extLst>
            <a:ext uri="{FF2B5EF4-FFF2-40B4-BE49-F238E27FC236}">
              <a16:creationId xmlns:a16="http://schemas.microsoft.com/office/drawing/2014/main" id="{00000000-0008-0000-0200-0000A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18" name="Text Box 517">
          <a:extLst>
            <a:ext uri="{FF2B5EF4-FFF2-40B4-BE49-F238E27FC236}">
              <a16:creationId xmlns:a16="http://schemas.microsoft.com/office/drawing/2014/main" id="{00000000-0008-0000-0200-0000A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19" name="Text Box 518">
          <a:extLst>
            <a:ext uri="{FF2B5EF4-FFF2-40B4-BE49-F238E27FC236}">
              <a16:creationId xmlns:a16="http://schemas.microsoft.com/office/drawing/2014/main" id="{00000000-0008-0000-0200-0000A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0" name="Text Box 519">
          <a:extLst>
            <a:ext uri="{FF2B5EF4-FFF2-40B4-BE49-F238E27FC236}">
              <a16:creationId xmlns:a16="http://schemas.microsoft.com/office/drawing/2014/main" id="{00000000-0008-0000-0200-0000A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1" name="Text Box 520">
          <a:extLst>
            <a:ext uri="{FF2B5EF4-FFF2-40B4-BE49-F238E27FC236}">
              <a16:creationId xmlns:a16="http://schemas.microsoft.com/office/drawing/2014/main" id="{00000000-0008-0000-0200-0000A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22" name="Text Box 521">
          <a:extLst>
            <a:ext uri="{FF2B5EF4-FFF2-40B4-BE49-F238E27FC236}">
              <a16:creationId xmlns:a16="http://schemas.microsoft.com/office/drawing/2014/main" id="{00000000-0008-0000-0200-0000A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3" name="Text Box 522">
          <a:extLst>
            <a:ext uri="{FF2B5EF4-FFF2-40B4-BE49-F238E27FC236}">
              <a16:creationId xmlns:a16="http://schemas.microsoft.com/office/drawing/2014/main" id="{00000000-0008-0000-0200-0000A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4" name="Text Box 523">
          <a:extLst>
            <a:ext uri="{FF2B5EF4-FFF2-40B4-BE49-F238E27FC236}">
              <a16:creationId xmlns:a16="http://schemas.microsoft.com/office/drawing/2014/main" id="{00000000-0008-0000-0200-0000A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25" name="Text Box 524">
          <a:extLst>
            <a:ext uri="{FF2B5EF4-FFF2-40B4-BE49-F238E27FC236}">
              <a16:creationId xmlns:a16="http://schemas.microsoft.com/office/drawing/2014/main" id="{00000000-0008-0000-0200-0000A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26" name="Text Box 525">
          <a:extLst>
            <a:ext uri="{FF2B5EF4-FFF2-40B4-BE49-F238E27FC236}">
              <a16:creationId xmlns:a16="http://schemas.microsoft.com/office/drawing/2014/main" id="{00000000-0008-0000-0200-0000AA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7" name="Text Box 526">
          <a:extLst>
            <a:ext uri="{FF2B5EF4-FFF2-40B4-BE49-F238E27FC236}">
              <a16:creationId xmlns:a16="http://schemas.microsoft.com/office/drawing/2014/main" id="{00000000-0008-0000-0200-0000A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28" name="Text Box 527">
          <a:extLst>
            <a:ext uri="{FF2B5EF4-FFF2-40B4-BE49-F238E27FC236}">
              <a16:creationId xmlns:a16="http://schemas.microsoft.com/office/drawing/2014/main" id="{00000000-0008-0000-0200-0000A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29" name="Text Box 528">
          <a:extLst>
            <a:ext uri="{FF2B5EF4-FFF2-40B4-BE49-F238E27FC236}">
              <a16:creationId xmlns:a16="http://schemas.microsoft.com/office/drawing/2014/main" id="{00000000-0008-0000-0200-0000AD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0" name="Text Box 529">
          <a:extLst>
            <a:ext uri="{FF2B5EF4-FFF2-40B4-BE49-F238E27FC236}">
              <a16:creationId xmlns:a16="http://schemas.microsoft.com/office/drawing/2014/main" id="{00000000-0008-0000-0200-0000A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1" name="Text Box 530">
          <a:extLst>
            <a:ext uri="{FF2B5EF4-FFF2-40B4-BE49-F238E27FC236}">
              <a16:creationId xmlns:a16="http://schemas.microsoft.com/office/drawing/2014/main" id="{00000000-0008-0000-0200-0000A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32" name="Text Box 531">
          <a:extLst>
            <a:ext uri="{FF2B5EF4-FFF2-40B4-BE49-F238E27FC236}">
              <a16:creationId xmlns:a16="http://schemas.microsoft.com/office/drawing/2014/main" id="{00000000-0008-0000-0200-0000B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3" name="Text Box 532">
          <a:extLst>
            <a:ext uri="{FF2B5EF4-FFF2-40B4-BE49-F238E27FC236}">
              <a16:creationId xmlns:a16="http://schemas.microsoft.com/office/drawing/2014/main" id="{00000000-0008-0000-0200-0000B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4" name="Text Box 533">
          <a:extLst>
            <a:ext uri="{FF2B5EF4-FFF2-40B4-BE49-F238E27FC236}">
              <a16:creationId xmlns:a16="http://schemas.microsoft.com/office/drawing/2014/main" id="{00000000-0008-0000-0200-0000B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435" name="Text Box 534">
          <a:extLst>
            <a:ext uri="{FF2B5EF4-FFF2-40B4-BE49-F238E27FC236}">
              <a16:creationId xmlns:a16="http://schemas.microsoft.com/office/drawing/2014/main" id="{00000000-0008-0000-0200-0000B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36" name="Text Box 535">
          <a:extLst>
            <a:ext uri="{FF2B5EF4-FFF2-40B4-BE49-F238E27FC236}">
              <a16:creationId xmlns:a16="http://schemas.microsoft.com/office/drawing/2014/main" id="{00000000-0008-0000-0200-0000B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7" name="Text Box 536">
          <a:extLst>
            <a:ext uri="{FF2B5EF4-FFF2-40B4-BE49-F238E27FC236}">
              <a16:creationId xmlns:a16="http://schemas.microsoft.com/office/drawing/2014/main" id="{00000000-0008-0000-0200-0000B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38" name="Text Box 537">
          <a:extLst>
            <a:ext uri="{FF2B5EF4-FFF2-40B4-BE49-F238E27FC236}">
              <a16:creationId xmlns:a16="http://schemas.microsoft.com/office/drawing/2014/main" id="{00000000-0008-0000-0200-0000B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39" name="Text Box 538">
          <a:extLst>
            <a:ext uri="{FF2B5EF4-FFF2-40B4-BE49-F238E27FC236}">
              <a16:creationId xmlns:a16="http://schemas.microsoft.com/office/drawing/2014/main" id="{00000000-0008-0000-0200-0000B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0" name="Text Box 539">
          <a:extLst>
            <a:ext uri="{FF2B5EF4-FFF2-40B4-BE49-F238E27FC236}">
              <a16:creationId xmlns:a16="http://schemas.microsoft.com/office/drawing/2014/main" id="{00000000-0008-0000-0200-0000B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1" name="Text Box 540">
          <a:extLst>
            <a:ext uri="{FF2B5EF4-FFF2-40B4-BE49-F238E27FC236}">
              <a16:creationId xmlns:a16="http://schemas.microsoft.com/office/drawing/2014/main" id="{00000000-0008-0000-0200-0000B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42" name="Text Box 541">
          <a:extLst>
            <a:ext uri="{FF2B5EF4-FFF2-40B4-BE49-F238E27FC236}">
              <a16:creationId xmlns:a16="http://schemas.microsoft.com/office/drawing/2014/main" id="{00000000-0008-0000-0200-0000B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3" name="Text Box 542">
          <a:extLst>
            <a:ext uri="{FF2B5EF4-FFF2-40B4-BE49-F238E27FC236}">
              <a16:creationId xmlns:a16="http://schemas.microsoft.com/office/drawing/2014/main" id="{00000000-0008-0000-0200-0000B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4" name="Text Box 543">
          <a:extLst>
            <a:ext uri="{FF2B5EF4-FFF2-40B4-BE49-F238E27FC236}">
              <a16:creationId xmlns:a16="http://schemas.microsoft.com/office/drawing/2014/main" id="{00000000-0008-0000-0200-0000B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45" name="Text Box 544">
          <a:extLst>
            <a:ext uri="{FF2B5EF4-FFF2-40B4-BE49-F238E27FC236}">
              <a16:creationId xmlns:a16="http://schemas.microsoft.com/office/drawing/2014/main" id="{00000000-0008-0000-0200-0000B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6" name="Text Box 545">
          <a:extLst>
            <a:ext uri="{FF2B5EF4-FFF2-40B4-BE49-F238E27FC236}">
              <a16:creationId xmlns:a16="http://schemas.microsoft.com/office/drawing/2014/main" id="{00000000-0008-0000-0200-0000B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7" name="Text Box 546">
          <a:extLst>
            <a:ext uri="{FF2B5EF4-FFF2-40B4-BE49-F238E27FC236}">
              <a16:creationId xmlns:a16="http://schemas.microsoft.com/office/drawing/2014/main" id="{00000000-0008-0000-0200-0000B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48" name="Text Box 547">
          <a:extLst>
            <a:ext uri="{FF2B5EF4-FFF2-40B4-BE49-F238E27FC236}">
              <a16:creationId xmlns:a16="http://schemas.microsoft.com/office/drawing/2014/main" id="{00000000-0008-0000-0200-0000C0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49" name="Text Box 548">
          <a:extLst>
            <a:ext uri="{FF2B5EF4-FFF2-40B4-BE49-F238E27FC236}">
              <a16:creationId xmlns:a16="http://schemas.microsoft.com/office/drawing/2014/main" id="{00000000-0008-0000-0200-0000C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0" name="Text Box 549">
          <a:extLst>
            <a:ext uri="{FF2B5EF4-FFF2-40B4-BE49-F238E27FC236}">
              <a16:creationId xmlns:a16="http://schemas.microsoft.com/office/drawing/2014/main" id="{00000000-0008-0000-0200-0000C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51" name="Text Box 550">
          <a:extLst>
            <a:ext uri="{FF2B5EF4-FFF2-40B4-BE49-F238E27FC236}">
              <a16:creationId xmlns:a16="http://schemas.microsoft.com/office/drawing/2014/main" id="{00000000-0008-0000-0200-0000C3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52" name="Text Box 551">
          <a:extLst>
            <a:ext uri="{FF2B5EF4-FFF2-40B4-BE49-F238E27FC236}">
              <a16:creationId xmlns:a16="http://schemas.microsoft.com/office/drawing/2014/main" id="{00000000-0008-0000-0200-0000C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3" name="Text Box 552">
          <a:extLst>
            <a:ext uri="{FF2B5EF4-FFF2-40B4-BE49-F238E27FC236}">
              <a16:creationId xmlns:a16="http://schemas.microsoft.com/office/drawing/2014/main" id="{00000000-0008-0000-0200-0000C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4" name="Text Box 553">
          <a:extLst>
            <a:ext uri="{FF2B5EF4-FFF2-40B4-BE49-F238E27FC236}">
              <a16:creationId xmlns:a16="http://schemas.microsoft.com/office/drawing/2014/main" id="{00000000-0008-0000-0200-0000C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55" name="Text Box 554">
          <a:extLst>
            <a:ext uri="{FF2B5EF4-FFF2-40B4-BE49-F238E27FC236}">
              <a16:creationId xmlns:a16="http://schemas.microsoft.com/office/drawing/2014/main" id="{00000000-0008-0000-0200-0000C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6" name="Text Box 555">
          <a:extLst>
            <a:ext uri="{FF2B5EF4-FFF2-40B4-BE49-F238E27FC236}">
              <a16:creationId xmlns:a16="http://schemas.microsoft.com/office/drawing/2014/main" id="{00000000-0008-0000-0200-0000C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7" name="Text Box 556">
          <a:extLst>
            <a:ext uri="{FF2B5EF4-FFF2-40B4-BE49-F238E27FC236}">
              <a16:creationId xmlns:a16="http://schemas.microsoft.com/office/drawing/2014/main" id="{00000000-0008-0000-0200-0000C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58" name="Text Box 557">
          <a:extLst>
            <a:ext uri="{FF2B5EF4-FFF2-40B4-BE49-F238E27FC236}">
              <a16:creationId xmlns:a16="http://schemas.microsoft.com/office/drawing/2014/main" id="{00000000-0008-0000-0200-0000C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59" name="Text Box 558">
          <a:extLst>
            <a:ext uri="{FF2B5EF4-FFF2-40B4-BE49-F238E27FC236}">
              <a16:creationId xmlns:a16="http://schemas.microsoft.com/office/drawing/2014/main" id="{00000000-0008-0000-0200-0000C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0" name="Text Box 559">
          <a:extLst>
            <a:ext uri="{FF2B5EF4-FFF2-40B4-BE49-F238E27FC236}">
              <a16:creationId xmlns:a16="http://schemas.microsoft.com/office/drawing/2014/main" id="{00000000-0008-0000-0200-0000C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61" name="Text Box 560">
          <a:extLst>
            <a:ext uri="{FF2B5EF4-FFF2-40B4-BE49-F238E27FC236}">
              <a16:creationId xmlns:a16="http://schemas.microsoft.com/office/drawing/2014/main" id="{00000000-0008-0000-0200-0000C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62" name="Text Box 561">
          <a:extLst>
            <a:ext uri="{FF2B5EF4-FFF2-40B4-BE49-F238E27FC236}">
              <a16:creationId xmlns:a16="http://schemas.microsoft.com/office/drawing/2014/main" id="{00000000-0008-0000-0200-0000C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3" name="Text Box 562">
          <a:extLst>
            <a:ext uri="{FF2B5EF4-FFF2-40B4-BE49-F238E27FC236}">
              <a16:creationId xmlns:a16="http://schemas.microsoft.com/office/drawing/2014/main" id="{00000000-0008-0000-0200-0000C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4" name="Text Box 563">
          <a:extLst>
            <a:ext uri="{FF2B5EF4-FFF2-40B4-BE49-F238E27FC236}">
              <a16:creationId xmlns:a16="http://schemas.microsoft.com/office/drawing/2014/main" id="{00000000-0008-0000-0200-0000D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65" name="Text Box 564">
          <a:extLst>
            <a:ext uri="{FF2B5EF4-FFF2-40B4-BE49-F238E27FC236}">
              <a16:creationId xmlns:a16="http://schemas.microsoft.com/office/drawing/2014/main" id="{00000000-0008-0000-0200-0000D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6" name="Text Box 565">
          <a:extLst>
            <a:ext uri="{FF2B5EF4-FFF2-40B4-BE49-F238E27FC236}">
              <a16:creationId xmlns:a16="http://schemas.microsoft.com/office/drawing/2014/main" id="{00000000-0008-0000-0200-0000D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7" name="Text Box 566">
          <a:extLst>
            <a:ext uri="{FF2B5EF4-FFF2-40B4-BE49-F238E27FC236}">
              <a16:creationId xmlns:a16="http://schemas.microsoft.com/office/drawing/2014/main" id="{00000000-0008-0000-0200-0000D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68" name="Text Box 567">
          <a:extLst>
            <a:ext uri="{FF2B5EF4-FFF2-40B4-BE49-F238E27FC236}">
              <a16:creationId xmlns:a16="http://schemas.microsoft.com/office/drawing/2014/main" id="{00000000-0008-0000-0200-0000D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69" name="Text Box 568">
          <a:extLst>
            <a:ext uri="{FF2B5EF4-FFF2-40B4-BE49-F238E27FC236}">
              <a16:creationId xmlns:a16="http://schemas.microsoft.com/office/drawing/2014/main" id="{00000000-0008-0000-0200-0000D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0" name="Text Box 569">
          <a:extLst>
            <a:ext uri="{FF2B5EF4-FFF2-40B4-BE49-F238E27FC236}">
              <a16:creationId xmlns:a16="http://schemas.microsoft.com/office/drawing/2014/main" id="{00000000-0008-0000-0200-0000D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71" name="Text Box 570">
          <a:extLst>
            <a:ext uri="{FF2B5EF4-FFF2-40B4-BE49-F238E27FC236}">
              <a16:creationId xmlns:a16="http://schemas.microsoft.com/office/drawing/2014/main" id="{00000000-0008-0000-0200-0000D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72" name="Text Box 571">
          <a:extLst>
            <a:ext uri="{FF2B5EF4-FFF2-40B4-BE49-F238E27FC236}">
              <a16:creationId xmlns:a16="http://schemas.microsoft.com/office/drawing/2014/main" id="{00000000-0008-0000-0200-0000D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3" name="Text Box 572">
          <a:extLst>
            <a:ext uri="{FF2B5EF4-FFF2-40B4-BE49-F238E27FC236}">
              <a16:creationId xmlns:a16="http://schemas.microsoft.com/office/drawing/2014/main" id="{00000000-0008-0000-0200-0000D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4" name="Text Box 573">
          <a:extLst>
            <a:ext uri="{FF2B5EF4-FFF2-40B4-BE49-F238E27FC236}">
              <a16:creationId xmlns:a16="http://schemas.microsoft.com/office/drawing/2014/main" id="{00000000-0008-0000-0200-0000D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75" name="Text Box 574">
          <a:extLst>
            <a:ext uri="{FF2B5EF4-FFF2-40B4-BE49-F238E27FC236}">
              <a16:creationId xmlns:a16="http://schemas.microsoft.com/office/drawing/2014/main" id="{00000000-0008-0000-0200-0000D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6" name="Text Box 575">
          <a:extLst>
            <a:ext uri="{FF2B5EF4-FFF2-40B4-BE49-F238E27FC236}">
              <a16:creationId xmlns:a16="http://schemas.microsoft.com/office/drawing/2014/main" id="{00000000-0008-0000-0200-0000D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7" name="Text Box 576">
          <a:extLst>
            <a:ext uri="{FF2B5EF4-FFF2-40B4-BE49-F238E27FC236}">
              <a16:creationId xmlns:a16="http://schemas.microsoft.com/office/drawing/2014/main" id="{00000000-0008-0000-0200-0000D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78" name="Text Box 577">
          <a:extLst>
            <a:ext uri="{FF2B5EF4-FFF2-40B4-BE49-F238E27FC236}">
              <a16:creationId xmlns:a16="http://schemas.microsoft.com/office/drawing/2014/main" id="{00000000-0008-0000-0200-0000D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79" name="Text Box 578">
          <a:extLst>
            <a:ext uri="{FF2B5EF4-FFF2-40B4-BE49-F238E27FC236}">
              <a16:creationId xmlns:a16="http://schemas.microsoft.com/office/drawing/2014/main" id="{00000000-0008-0000-0200-0000D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0" name="Text Box 579">
          <a:extLst>
            <a:ext uri="{FF2B5EF4-FFF2-40B4-BE49-F238E27FC236}">
              <a16:creationId xmlns:a16="http://schemas.microsoft.com/office/drawing/2014/main" id="{00000000-0008-0000-0200-0000E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81" name="Text Box 580">
          <a:extLst>
            <a:ext uri="{FF2B5EF4-FFF2-40B4-BE49-F238E27FC236}">
              <a16:creationId xmlns:a16="http://schemas.microsoft.com/office/drawing/2014/main" id="{00000000-0008-0000-0200-0000E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2" name="Text Box 581">
          <a:extLst>
            <a:ext uri="{FF2B5EF4-FFF2-40B4-BE49-F238E27FC236}">
              <a16:creationId xmlns:a16="http://schemas.microsoft.com/office/drawing/2014/main" id="{00000000-0008-0000-0200-0000E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3" name="Text Box 582">
          <a:extLst>
            <a:ext uri="{FF2B5EF4-FFF2-40B4-BE49-F238E27FC236}">
              <a16:creationId xmlns:a16="http://schemas.microsoft.com/office/drawing/2014/main" id="{00000000-0008-0000-0200-0000E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84" name="Text Box 583">
          <a:extLst>
            <a:ext uri="{FF2B5EF4-FFF2-40B4-BE49-F238E27FC236}">
              <a16:creationId xmlns:a16="http://schemas.microsoft.com/office/drawing/2014/main" id="{00000000-0008-0000-0200-0000E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5" name="Text Box 584">
          <a:extLst>
            <a:ext uri="{FF2B5EF4-FFF2-40B4-BE49-F238E27FC236}">
              <a16:creationId xmlns:a16="http://schemas.microsoft.com/office/drawing/2014/main" id="{00000000-0008-0000-0200-0000E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6" name="Text Box 585">
          <a:extLst>
            <a:ext uri="{FF2B5EF4-FFF2-40B4-BE49-F238E27FC236}">
              <a16:creationId xmlns:a16="http://schemas.microsoft.com/office/drawing/2014/main" id="{00000000-0008-0000-0200-0000E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87" name="Text Box 586">
          <a:extLst>
            <a:ext uri="{FF2B5EF4-FFF2-40B4-BE49-F238E27FC236}">
              <a16:creationId xmlns:a16="http://schemas.microsoft.com/office/drawing/2014/main" id="{00000000-0008-0000-0200-0000E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88" name="Text Box 587">
          <a:extLst>
            <a:ext uri="{FF2B5EF4-FFF2-40B4-BE49-F238E27FC236}">
              <a16:creationId xmlns:a16="http://schemas.microsoft.com/office/drawing/2014/main" id="{00000000-0008-0000-0200-0000E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89" name="Text Box 588">
          <a:extLst>
            <a:ext uri="{FF2B5EF4-FFF2-40B4-BE49-F238E27FC236}">
              <a16:creationId xmlns:a16="http://schemas.microsoft.com/office/drawing/2014/main" id="{00000000-0008-0000-0200-0000E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0" name="Text Box 589">
          <a:extLst>
            <a:ext uri="{FF2B5EF4-FFF2-40B4-BE49-F238E27FC236}">
              <a16:creationId xmlns:a16="http://schemas.microsoft.com/office/drawing/2014/main" id="{00000000-0008-0000-0200-0000E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91" name="Text Box 590">
          <a:extLst>
            <a:ext uri="{FF2B5EF4-FFF2-40B4-BE49-F238E27FC236}">
              <a16:creationId xmlns:a16="http://schemas.microsoft.com/office/drawing/2014/main" id="{00000000-0008-0000-0200-0000E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2" name="Text Box 591">
          <a:extLst>
            <a:ext uri="{FF2B5EF4-FFF2-40B4-BE49-F238E27FC236}">
              <a16:creationId xmlns:a16="http://schemas.microsoft.com/office/drawing/2014/main" id="{00000000-0008-0000-0200-0000E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3" name="Text Box 592">
          <a:extLst>
            <a:ext uri="{FF2B5EF4-FFF2-40B4-BE49-F238E27FC236}">
              <a16:creationId xmlns:a16="http://schemas.microsoft.com/office/drawing/2014/main" id="{00000000-0008-0000-0200-0000E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94" name="Text Box 593">
          <a:extLst>
            <a:ext uri="{FF2B5EF4-FFF2-40B4-BE49-F238E27FC236}">
              <a16:creationId xmlns:a16="http://schemas.microsoft.com/office/drawing/2014/main" id="{00000000-0008-0000-0200-0000E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5" name="Text Box 594">
          <a:extLst>
            <a:ext uri="{FF2B5EF4-FFF2-40B4-BE49-F238E27FC236}">
              <a16:creationId xmlns:a16="http://schemas.microsoft.com/office/drawing/2014/main" id="{00000000-0008-0000-0200-0000E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6" name="Text Box 595">
          <a:extLst>
            <a:ext uri="{FF2B5EF4-FFF2-40B4-BE49-F238E27FC236}">
              <a16:creationId xmlns:a16="http://schemas.microsoft.com/office/drawing/2014/main" id="{00000000-0008-0000-0200-0000F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97" name="Text Box 596">
          <a:extLst>
            <a:ext uri="{FF2B5EF4-FFF2-40B4-BE49-F238E27FC236}">
              <a16:creationId xmlns:a16="http://schemas.microsoft.com/office/drawing/2014/main" id="{00000000-0008-0000-0200-0000F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498" name="Text Box 597">
          <a:extLst>
            <a:ext uri="{FF2B5EF4-FFF2-40B4-BE49-F238E27FC236}">
              <a16:creationId xmlns:a16="http://schemas.microsoft.com/office/drawing/2014/main" id="{00000000-0008-0000-0200-0000F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499" name="Text Box 598">
          <a:extLst>
            <a:ext uri="{FF2B5EF4-FFF2-40B4-BE49-F238E27FC236}">
              <a16:creationId xmlns:a16="http://schemas.microsoft.com/office/drawing/2014/main" id="{00000000-0008-0000-0200-0000F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0" name="Text Box 599">
          <a:extLst>
            <a:ext uri="{FF2B5EF4-FFF2-40B4-BE49-F238E27FC236}">
              <a16:creationId xmlns:a16="http://schemas.microsoft.com/office/drawing/2014/main" id="{00000000-0008-0000-0200-0000F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01" name="Text Box 600">
          <a:extLst>
            <a:ext uri="{FF2B5EF4-FFF2-40B4-BE49-F238E27FC236}">
              <a16:creationId xmlns:a16="http://schemas.microsoft.com/office/drawing/2014/main" id="{00000000-0008-0000-0200-0000F5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2" name="Text Box 601">
          <a:extLst>
            <a:ext uri="{FF2B5EF4-FFF2-40B4-BE49-F238E27FC236}">
              <a16:creationId xmlns:a16="http://schemas.microsoft.com/office/drawing/2014/main" id="{00000000-0008-0000-0200-0000F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3" name="Text Box 602">
          <a:extLst>
            <a:ext uri="{FF2B5EF4-FFF2-40B4-BE49-F238E27FC236}">
              <a16:creationId xmlns:a16="http://schemas.microsoft.com/office/drawing/2014/main" id="{00000000-0008-0000-0200-0000F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04" name="Text Box 603">
          <a:extLst>
            <a:ext uri="{FF2B5EF4-FFF2-40B4-BE49-F238E27FC236}">
              <a16:creationId xmlns:a16="http://schemas.microsoft.com/office/drawing/2014/main" id="{00000000-0008-0000-0200-0000F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5" name="Text Box 604">
          <a:extLst>
            <a:ext uri="{FF2B5EF4-FFF2-40B4-BE49-F238E27FC236}">
              <a16:creationId xmlns:a16="http://schemas.microsoft.com/office/drawing/2014/main" id="{00000000-0008-0000-0200-0000F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6" name="Text Box 605">
          <a:extLst>
            <a:ext uri="{FF2B5EF4-FFF2-40B4-BE49-F238E27FC236}">
              <a16:creationId xmlns:a16="http://schemas.microsoft.com/office/drawing/2014/main" id="{00000000-0008-0000-0200-0000F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07" name="Text Box 606">
          <a:extLst>
            <a:ext uri="{FF2B5EF4-FFF2-40B4-BE49-F238E27FC236}">
              <a16:creationId xmlns:a16="http://schemas.microsoft.com/office/drawing/2014/main" id="{00000000-0008-0000-0200-0000F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08" name="Text Box 607">
          <a:extLst>
            <a:ext uri="{FF2B5EF4-FFF2-40B4-BE49-F238E27FC236}">
              <a16:creationId xmlns:a16="http://schemas.microsoft.com/office/drawing/2014/main" id="{00000000-0008-0000-0200-0000FC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09" name="Text Box 608">
          <a:extLst>
            <a:ext uri="{FF2B5EF4-FFF2-40B4-BE49-F238E27FC236}">
              <a16:creationId xmlns:a16="http://schemas.microsoft.com/office/drawing/2014/main" id="{00000000-0008-0000-0200-0000F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0" name="Text Box 609">
          <a:extLst>
            <a:ext uri="{FF2B5EF4-FFF2-40B4-BE49-F238E27FC236}">
              <a16:creationId xmlns:a16="http://schemas.microsoft.com/office/drawing/2014/main" id="{00000000-0008-0000-0200-0000F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11" name="Text Box 610">
          <a:extLst>
            <a:ext uri="{FF2B5EF4-FFF2-40B4-BE49-F238E27FC236}">
              <a16:creationId xmlns:a16="http://schemas.microsoft.com/office/drawing/2014/main" id="{00000000-0008-0000-0200-0000FF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2" name="Text Box 611">
          <a:extLst>
            <a:ext uri="{FF2B5EF4-FFF2-40B4-BE49-F238E27FC236}">
              <a16:creationId xmlns:a16="http://schemas.microsoft.com/office/drawing/2014/main" id="{00000000-0008-0000-0200-00000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3" name="Text Box 612">
          <a:extLst>
            <a:ext uri="{FF2B5EF4-FFF2-40B4-BE49-F238E27FC236}">
              <a16:creationId xmlns:a16="http://schemas.microsoft.com/office/drawing/2014/main" id="{00000000-0008-0000-0200-00000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14" name="Text Box 613">
          <a:extLst>
            <a:ext uri="{FF2B5EF4-FFF2-40B4-BE49-F238E27FC236}">
              <a16:creationId xmlns:a16="http://schemas.microsoft.com/office/drawing/2014/main" id="{00000000-0008-0000-0200-00000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5" name="Text Box 614">
          <a:extLst>
            <a:ext uri="{FF2B5EF4-FFF2-40B4-BE49-F238E27FC236}">
              <a16:creationId xmlns:a16="http://schemas.microsoft.com/office/drawing/2014/main" id="{00000000-0008-0000-0200-00000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6" name="Text Box 615">
          <a:extLst>
            <a:ext uri="{FF2B5EF4-FFF2-40B4-BE49-F238E27FC236}">
              <a16:creationId xmlns:a16="http://schemas.microsoft.com/office/drawing/2014/main" id="{00000000-0008-0000-0200-00000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17" name="Text Box 616">
          <a:extLst>
            <a:ext uri="{FF2B5EF4-FFF2-40B4-BE49-F238E27FC236}">
              <a16:creationId xmlns:a16="http://schemas.microsoft.com/office/drawing/2014/main" id="{00000000-0008-0000-0200-00000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8" name="Text Box 617">
          <a:extLst>
            <a:ext uri="{FF2B5EF4-FFF2-40B4-BE49-F238E27FC236}">
              <a16:creationId xmlns:a16="http://schemas.microsoft.com/office/drawing/2014/main" id="{00000000-0008-0000-0200-00000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19" name="Text Box 618">
          <a:extLst>
            <a:ext uri="{FF2B5EF4-FFF2-40B4-BE49-F238E27FC236}">
              <a16:creationId xmlns:a16="http://schemas.microsoft.com/office/drawing/2014/main" id="{00000000-0008-0000-0200-00000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20" name="Text Box 619">
          <a:extLst>
            <a:ext uri="{FF2B5EF4-FFF2-40B4-BE49-F238E27FC236}">
              <a16:creationId xmlns:a16="http://schemas.microsoft.com/office/drawing/2014/main" id="{00000000-0008-0000-0200-000008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1" name="Text Box 620">
          <a:extLst>
            <a:ext uri="{FF2B5EF4-FFF2-40B4-BE49-F238E27FC236}">
              <a16:creationId xmlns:a16="http://schemas.microsoft.com/office/drawing/2014/main" id="{00000000-0008-0000-0200-00000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2" name="Text Box 621">
          <a:extLst>
            <a:ext uri="{FF2B5EF4-FFF2-40B4-BE49-F238E27FC236}">
              <a16:creationId xmlns:a16="http://schemas.microsoft.com/office/drawing/2014/main" id="{00000000-0008-0000-0200-00000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23" name="Text Box 622">
          <a:extLst>
            <a:ext uri="{FF2B5EF4-FFF2-40B4-BE49-F238E27FC236}">
              <a16:creationId xmlns:a16="http://schemas.microsoft.com/office/drawing/2014/main" id="{00000000-0008-0000-0200-00000B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24" name="Text Box 623">
          <a:extLst>
            <a:ext uri="{FF2B5EF4-FFF2-40B4-BE49-F238E27FC236}">
              <a16:creationId xmlns:a16="http://schemas.microsoft.com/office/drawing/2014/main" id="{00000000-0008-0000-0200-00000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5" name="Text Box 624">
          <a:extLst>
            <a:ext uri="{FF2B5EF4-FFF2-40B4-BE49-F238E27FC236}">
              <a16:creationId xmlns:a16="http://schemas.microsoft.com/office/drawing/2014/main" id="{00000000-0008-0000-0200-00000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6" name="Text Box 625">
          <a:extLst>
            <a:ext uri="{FF2B5EF4-FFF2-40B4-BE49-F238E27FC236}">
              <a16:creationId xmlns:a16="http://schemas.microsoft.com/office/drawing/2014/main" id="{00000000-0008-0000-0200-00000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27" name="Text Box 626">
          <a:extLst>
            <a:ext uri="{FF2B5EF4-FFF2-40B4-BE49-F238E27FC236}">
              <a16:creationId xmlns:a16="http://schemas.microsoft.com/office/drawing/2014/main" id="{00000000-0008-0000-0200-00000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8" name="Text Box 627">
          <a:extLst>
            <a:ext uri="{FF2B5EF4-FFF2-40B4-BE49-F238E27FC236}">
              <a16:creationId xmlns:a16="http://schemas.microsoft.com/office/drawing/2014/main" id="{00000000-0008-0000-0200-00001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29" name="Text Box 628">
          <a:extLst>
            <a:ext uri="{FF2B5EF4-FFF2-40B4-BE49-F238E27FC236}">
              <a16:creationId xmlns:a16="http://schemas.microsoft.com/office/drawing/2014/main" id="{00000000-0008-0000-0200-00001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30" name="Text Box 629">
          <a:extLst>
            <a:ext uri="{FF2B5EF4-FFF2-40B4-BE49-F238E27FC236}">
              <a16:creationId xmlns:a16="http://schemas.microsoft.com/office/drawing/2014/main" id="{00000000-0008-0000-0200-00001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1" name="Text Box 630">
          <a:extLst>
            <a:ext uri="{FF2B5EF4-FFF2-40B4-BE49-F238E27FC236}">
              <a16:creationId xmlns:a16="http://schemas.microsoft.com/office/drawing/2014/main" id="{00000000-0008-0000-0200-00001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2" name="Text Box 631">
          <a:extLst>
            <a:ext uri="{FF2B5EF4-FFF2-40B4-BE49-F238E27FC236}">
              <a16:creationId xmlns:a16="http://schemas.microsoft.com/office/drawing/2014/main" id="{00000000-0008-0000-0200-00001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33" name="Text Box 632">
          <a:extLst>
            <a:ext uri="{FF2B5EF4-FFF2-40B4-BE49-F238E27FC236}">
              <a16:creationId xmlns:a16="http://schemas.microsoft.com/office/drawing/2014/main" id="{00000000-0008-0000-0200-00001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34" name="Text Box 633">
          <a:extLst>
            <a:ext uri="{FF2B5EF4-FFF2-40B4-BE49-F238E27FC236}">
              <a16:creationId xmlns:a16="http://schemas.microsoft.com/office/drawing/2014/main" id="{00000000-0008-0000-0200-000016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5" name="Text Box 634">
          <a:extLst>
            <a:ext uri="{FF2B5EF4-FFF2-40B4-BE49-F238E27FC236}">
              <a16:creationId xmlns:a16="http://schemas.microsoft.com/office/drawing/2014/main" id="{00000000-0008-0000-0200-00001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6" name="Text Box 635">
          <a:extLst>
            <a:ext uri="{FF2B5EF4-FFF2-40B4-BE49-F238E27FC236}">
              <a16:creationId xmlns:a16="http://schemas.microsoft.com/office/drawing/2014/main" id="{00000000-0008-0000-0200-00001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37" name="Text Box 636">
          <a:extLst>
            <a:ext uri="{FF2B5EF4-FFF2-40B4-BE49-F238E27FC236}">
              <a16:creationId xmlns:a16="http://schemas.microsoft.com/office/drawing/2014/main" id="{00000000-0008-0000-0200-000019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8" name="Text Box 637">
          <a:extLst>
            <a:ext uri="{FF2B5EF4-FFF2-40B4-BE49-F238E27FC236}">
              <a16:creationId xmlns:a16="http://schemas.microsoft.com/office/drawing/2014/main" id="{00000000-0008-0000-0200-00001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39" name="Text Box 638">
          <a:extLst>
            <a:ext uri="{FF2B5EF4-FFF2-40B4-BE49-F238E27FC236}">
              <a16:creationId xmlns:a16="http://schemas.microsoft.com/office/drawing/2014/main" id="{00000000-0008-0000-0200-00001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40" name="Text Box 639">
          <a:extLst>
            <a:ext uri="{FF2B5EF4-FFF2-40B4-BE49-F238E27FC236}">
              <a16:creationId xmlns:a16="http://schemas.microsoft.com/office/drawing/2014/main" id="{00000000-0008-0000-0200-00001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1" name="Text Box 640">
          <a:extLst>
            <a:ext uri="{FF2B5EF4-FFF2-40B4-BE49-F238E27FC236}">
              <a16:creationId xmlns:a16="http://schemas.microsoft.com/office/drawing/2014/main" id="{00000000-0008-0000-0200-00001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2" name="Text Box 641">
          <a:extLst>
            <a:ext uri="{FF2B5EF4-FFF2-40B4-BE49-F238E27FC236}">
              <a16:creationId xmlns:a16="http://schemas.microsoft.com/office/drawing/2014/main" id="{00000000-0008-0000-0200-00001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28573</xdr:rowOff>
    </xdr:to>
    <xdr:sp macro="" textlink="">
      <xdr:nvSpPr>
        <xdr:cNvPr id="543" name="Text Box 642">
          <a:extLst>
            <a:ext uri="{FF2B5EF4-FFF2-40B4-BE49-F238E27FC236}">
              <a16:creationId xmlns:a16="http://schemas.microsoft.com/office/drawing/2014/main" id="{00000000-0008-0000-0200-00001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4" name="Text Box 643">
          <a:extLst>
            <a:ext uri="{FF2B5EF4-FFF2-40B4-BE49-F238E27FC236}">
              <a16:creationId xmlns:a16="http://schemas.microsoft.com/office/drawing/2014/main" id="{00000000-0008-0000-0200-00002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5" name="Text Box 644">
          <a:extLst>
            <a:ext uri="{FF2B5EF4-FFF2-40B4-BE49-F238E27FC236}">
              <a16:creationId xmlns:a16="http://schemas.microsoft.com/office/drawing/2014/main" id="{00000000-0008-0000-0200-00002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46" name="Text Box 645">
          <a:extLst>
            <a:ext uri="{FF2B5EF4-FFF2-40B4-BE49-F238E27FC236}">
              <a16:creationId xmlns:a16="http://schemas.microsoft.com/office/drawing/2014/main" id="{00000000-0008-0000-0200-00002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7" name="Text Box 646">
          <a:extLst>
            <a:ext uri="{FF2B5EF4-FFF2-40B4-BE49-F238E27FC236}">
              <a16:creationId xmlns:a16="http://schemas.microsoft.com/office/drawing/2014/main" id="{00000000-0008-0000-0200-00002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48" name="Text Box 647">
          <a:extLst>
            <a:ext uri="{FF2B5EF4-FFF2-40B4-BE49-F238E27FC236}">
              <a16:creationId xmlns:a16="http://schemas.microsoft.com/office/drawing/2014/main" id="{00000000-0008-0000-0200-00002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49" name="Text Box 648">
          <a:extLst>
            <a:ext uri="{FF2B5EF4-FFF2-40B4-BE49-F238E27FC236}">
              <a16:creationId xmlns:a16="http://schemas.microsoft.com/office/drawing/2014/main" id="{00000000-0008-0000-0200-000025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0" name="Text Box 649">
          <a:extLst>
            <a:ext uri="{FF2B5EF4-FFF2-40B4-BE49-F238E27FC236}">
              <a16:creationId xmlns:a16="http://schemas.microsoft.com/office/drawing/2014/main" id="{00000000-0008-0000-0200-00002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1" name="Text Box 650">
          <a:extLst>
            <a:ext uri="{FF2B5EF4-FFF2-40B4-BE49-F238E27FC236}">
              <a16:creationId xmlns:a16="http://schemas.microsoft.com/office/drawing/2014/main" id="{00000000-0008-0000-0200-00002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52" name="Text Box 651">
          <a:extLst>
            <a:ext uri="{FF2B5EF4-FFF2-40B4-BE49-F238E27FC236}">
              <a16:creationId xmlns:a16="http://schemas.microsoft.com/office/drawing/2014/main" id="{00000000-0008-0000-0200-000028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53" name="Text Box 652">
          <a:extLst>
            <a:ext uri="{FF2B5EF4-FFF2-40B4-BE49-F238E27FC236}">
              <a16:creationId xmlns:a16="http://schemas.microsoft.com/office/drawing/2014/main" id="{00000000-0008-0000-0200-00002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4" name="Text Box 653">
          <a:extLst>
            <a:ext uri="{FF2B5EF4-FFF2-40B4-BE49-F238E27FC236}">
              <a16:creationId xmlns:a16="http://schemas.microsoft.com/office/drawing/2014/main" id="{00000000-0008-0000-0200-00002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5" name="Text Box 654">
          <a:extLst>
            <a:ext uri="{FF2B5EF4-FFF2-40B4-BE49-F238E27FC236}">
              <a16:creationId xmlns:a16="http://schemas.microsoft.com/office/drawing/2014/main" id="{00000000-0008-0000-0200-00002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56" name="Text Box 655">
          <a:extLst>
            <a:ext uri="{FF2B5EF4-FFF2-40B4-BE49-F238E27FC236}">
              <a16:creationId xmlns:a16="http://schemas.microsoft.com/office/drawing/2014/main" id="{00000000-0008-0000-0200-00002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7" name="Text Box 656">
          <a:extLst>
            <a:ext uri="{FF2B5EF4-FFF2-40B4-BE49-F238E27FC236}">
              <a16:creationId xmlns:a16="http://schemas.microsoft.com/office/drawing/2014/main" id="{00000000-0008-0000-0200-00002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58" name="Text Box 657">
          <a:extLst>
            <a:ext uri="{FF2B5EF4-FFF2-40B4-BE49-F238E27FC236}">
              <a16:creationId xmlns:a16="http://schemas.microsoft.com/office/drawing/2014/main" id="{00000000-0008-0000-0200-00002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59" name="Text Box 658">
          <a:extLst>
            <a:ext uri="{FF2B5EF4-FFF2-40B4-BE49-F238E27FC236}">
              <a16:creationId xmlns:a16="http://schemas.microsoft.com/office/drawing/2014/main" id="{00000000-0008-0000-0200-00002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0" name="Text Box 659">
          <a:extLst>
            <a:ext uri="{FF2B5EF4-FFF2-40B4-BE49-F238E27FC236}">
              <a16:creationId xmlns:a16="http://schemas.microsoft.com/office/drawing/2014/main" id="{00000000-0008-0000-0200-00003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1" name="Text Box 660">
          <a:extLst>
            <a:ext uri="{FF2B5EF4-FFF2-40B4-BE49-F238E27FC236}">
              <a16:creationId xmlns:a16="http://schemas.microsoft.com/office/drawing/2014/main" id="{00000000-0008-0000-0200-00003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562" name="Text Box 661">
          <a:extLst>
            <a:ext uri="{FF2B5EF4-FFF2-40B4-BE49-F238E27FC236}">
              <a16:creationId xmlns:a16="http://schemas.microsoft.com/office/drawing/2014/main" id="{00000000-0008-0000-0200-00003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3" name="Text Box 662">
          <a:extLst>
            <a:ext uri="{FF2B5EF4-FFF2-40B4-BE49-F238E27FC236}">
              <a16:creationId xmlns:a16="http://schemas.microsoft.com/office/drawing/2014/main" id="{00000000-0008-0000-0200-00003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4" name="Text Box 663">
          <a:extLst>
            <a:ext uri="{FF2B5EF4-FFF2-40B4-BE49-F238E27FC236}">
              <a16:creationId xmlns:a16="http://schemas.microsoft.com/office/drawing/2014/main" id="{00000000-0008-0000-0200-00003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65" name="Text Box 664">
          <a:extLst>
            <a:ext uri="{FF2B5EF4-FFF2-40B4-BE49-F238E27FC236}">
              <a16:creationId xmlns:a16="http://schemas.microsoft.com/office/drawing/2014/main" id="{00000000-0008-0000-0200-00003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6" name="Text Box 665">
          <a:extLst>
            <a:ext uri="{FF2B5EF4-FFF2-40B4-BE49-F238E27FC236}">
              <a16:creationId xmlns:a16="http://schemas.microsoft.com/office/drawing/2014/main" id="{00000000-0008-0000-0200-00003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7" name="Text Box 666">
          <a:extLst>
            <a:ext uri="{FF2B5EF4-FFF2-40B4-BE49-F238E27FC236}">
              <a16:creationId xmlns:a16="http://schemas.microsoft.com/office/drawing/2014/main" id="{00000000-0008-0000-0200-00003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68" name="Text Box 667">
          <a:extLst>
            <a:ext uri="{FF2B5EF4-FFF2-40B4-BE49-F238E27FC236}">
              <a16:creationId xmlns:a16="http://schemas.microsoft.com/office/drawing/2014/main" id="{00000000-0008-0000-0200-00003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69" name="Text Box 668">
          <a:extLst>
            <a:ext uri="{FF2B5EF4-FFF2-40B4-BE49-F238E27FC236}">
              <a16:creationId xmlns:a16="http://schemas.microsoft.com/office/drawing/2014/main" id="{00000000-0008-0000-0200-00003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0" name="Text Box 669">
          <a:extLst>
            <a:ext uri="{FF2B5EF4-FFF2-40B4-BE49-F238E27FC236}">
              <a16:creationId xmlns:a16="http://schemas.microsoft.com/office/drawing/2014/main" id="{00000000-0008-0000-0200-00003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71" name="Text Box 670">
          <a:extLst>
            <a:ext uri="{FF2B5EF4-FFF2-40B4-BE49-F238E27FC236}">
              <a16:creationId xmlns:a16="http://schemas.microsoft.com/office/drawing/2014/main" id="{00000000-0008-0000-0200-00003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72" name="Text Box 671">
          <a:extLst>
            <a:ext uri="{FF2B5EF4-FFF2-40B4-BE49-F238E27FC236}">
              <a16:creationId xmlns:a16="http://schemas.microsoft.com/office/drawing/2014/main" id="{00000000-0008-0000-0200-00003C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3" name="Text Box 672">
          <a:extLst>
            <a:ext uri="{FF2B5EF4-FFF2-40B4-BE49-F238E27FC236}">
              <a16:creationId xmlns:a16="http://schemas.microsoft.com/office/drawing/2014/main" id="{00000000-0008-0000-0200-00003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4" name="Text Box 673">
          <a:extLst>
            <a:ext uri="{FF2B5EF4-FFF2-40B4-BE49-F238E27FC236}">
              <a16:creationId xmlns:a16="http://schemas.microsoft.com/office/drawing/2014/main" id="{00000000-0008-0000-0200-00003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75" name="Text Box 674">
          <a:extLst>
            <a:ext uri="{FF2B5EF4-FFF2-40B4-BE49-F238E27FC236}">
              <a16:creationId xmlns:a16="http://schemas.microsoft.com/office/drawing/2014/main" id="{00000000-0008-0000-0200-00003F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6" name="Text Box 675">
          <a:extLst>
            <a:ext uri="{FF2B5EF4-FFF2-40B4-BE49-F238E27FC236}">
              <a16:creationId xmlns:a16="http://schemas.microsoft.com/office/drawing/2014/main" id="{00000000-0008-0000-0200-00004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7" name="Text Box 676">
          <a:extLst>
            <a:ext uri="{FF2B5EF4-FFF2-40B4-BE49-F238E27FC236}">
              <a16:creationId xmlns:a16="http://schemas.microsoft.com/office/drawing/2014/main" id="{00000000-0008-0000-0200-00004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78" name="Text Box 677">
          <a:extLst>
            <a:ext uri="{FF2B5EF4-FFF2-40B4-BE49-F238E27FC236}">
              <a16:creationId xmlns:a16="http://schemas.microsoft.com/office/drawing/2014/main" id="{00000000-0008-0000-0200-000042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79" name="Text Box 678">
          <a:extLst>
            <a:ext uri="{FF2B5EF4-FFF2-40B4-BE49-F238E27FC236}">
              <a16:creationId xmlns:a16="http://schemas.microsoft.com/office/drawing/2014/main" id="{00000000-0008-0000-0200-00004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0" name="Text Box 679">
          <a:extLst>
            <a:ext uri="{FF2B5EF4-FFF2-40B4-BE49-F238E27FC236}">
              <a16:creationId xmlns:a16="http://schemas.microsoft.com/office/drawing/2014/main" id="{00000000-0008-0000-0200-00004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581" name="Text Box 680">
          <a:extLst>
            <a:ext uri="{FF2B5EF4-FFF2-40B4-BE49-F238E27FC236}">
              <a16:creationId xmlns:a16="http://schemas.microsoft.com/office/drawing/2014/main" id="{00000000-0008-0000-0200-00004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2" name="Text Box 681">
          <a:extLst>
            <a:ext uri="{FF2B5EF4-FFF2-40B4-BE49-F238E27FC236}">
              <a16:creationId xmlns:a16="http://schemas.microsoft.com/office/drawing/2014/main" id="{00000000-0008-0000-0200-00004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3" name="Text Box 682">
          <a:extLst>
            <a:ext uri="{FF2B5EF4-FFF2-40B4-BE49-F238E27FC236}">
              <a16:creationId xmlns:a16="http://schemas.microsoft.com/office/drawing/2014/main" id="{00000000-0008-0000-0200-00004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84" name="Text Box 683">
          <a:extLst>
            <a:ext uri="{FF2B5EF4-FFF2-40B4-BE49-F238E27FC236}">
              <a16:creationId xmlns:a16="http://schemas.microsoft.com/office/drawing/2014/main" id="{00000000-0008-0000-0200-00004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5" name="Text Box 684">
          <a:extLst>
            <a:ext uri="{FF2B5EF4-FFF2-40B4-BE49-F238E27FC236}">
              <a16:creationId xmlns:a16="http://schemas.microsoft.com/office/drawing/2014/main" id="{00000000-0008-0000-0200-00004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6" name="Text Box 685">
          <a:extLst>
            <a:ext uri="{FF2B5EF4-FFF2-40B4-BE49-F238E27FC236}">
              <a16:creationId xmlns:a16="http://schemas.microsoft.com/office/drawing/2014/main" id="{00000000-0008-0000-0200-00004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87" name="Text Box 686">
          <a:extLst>
            <a:ext uri="{FF2B5EF4-FFF2-40B4-BE49-F238E27FC236}">
              <a16:creationId xmlns:a16="http://schemas.microsoft.com/office/drawing/2014/main" id="{00000000-0008-0000-0200-00004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8" name="Text Box 687">
          <a:extLst>
            <a:ext uri="{FF2B5EF4-FFF2-40B4-BE49-F238E27FC236}">
              <a16:creationId xmlns:a16="http://schemas.microsoft.com/office/drawing/2014/main" id="{00000000-0008-0000-0200-00004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89" name="Text Box 688">
          <a:extLst>
            <a:ext uri="{FF2B5EF4-FFF2-40B4-BE49-F238E27FC236}">
              <a16:creationId xmlns:a16="http://schemas.microsoft.com/office/drawing/2014/main" id="{00000000-0008-0000-0200-00004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90" name="Text Box 689">
          <a:extLst>
            <a:ext uri="{FF2B5EF4-FFF2-40B4-BE49-F238E27FC236}">
              <a16:creationId xmlns:a16="http://schemas.microsoft.com/office/drawing/2014/main" id="{00000000-0008-0000-0200-00004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91" name="Text Box 690">
          <a:extLst>
            <a:ext uri="{FF2B5EF4-FFF2-40B4-BE49-F238E27FC236}">
              <a16:creationId xmlns:a16="http://schemas.microsoft.com/office/drawing/2014/main" id="{00000000-0008-0000-0200-00004F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2" name="Text Box 691">
          <a:extLst>
            <a:ext uri="{FF2B5EF4-FFF2-40B4-BE49-F238E27FC236}">
              <a16:creationId xmlns:a16="http://schemas.microsoft.com/office/drawing/2014/main" id="{00000000-0008-0000-0200-00005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3" name="Text Box 692">
          <a:extLst>
            <a:ext uri="{FF2B5EF4-FFF2-40B4-BE49-F238E27FC236}">
              <a16:creationId xmlns:a16="http://schemas.microsoft.com/office/drawing/2014/main" id="{00000000-0008-0000-0200-00005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94" name="Text Box 693">
          <a:extLst>
            <a:ext uri="{FF2B5EF4-FFF2-40B4-BE49-F238E27FC236}">
              <a16:creationId xmlns:a16="http://schemas.microsoft.com/office/drawing/2014/main" id="{00000000-0008-0000-0200-00005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5" name="Text Box 694">
          <a:extLst>
            <a:ext uri="{FF2B5EF4-FFF2-40B4-BE49-F238E27FC236}">
              <a16:creationId xmlns:a16="http://schemas.microsoft.com/office/drawing/2014/main" id="{00000000-0008-0000-0200-00005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6" name="Text Box 695">
          <a:extLst>
            <a:ext uri="{FF2B5EF4-FFF2-40B4-BE49-F238E27FC236}">
              <a16:creationId xmlns:a16="http://schemas.microsoft.com/office/drawing/2014/main" id="{00000000-0008-0000-0200-00005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597" name="Text Box 696">
          <a:extLst>
            <a:ext uri="{FF2B5EF4-FFF2-40B4-BE49-F238E27FC236}">
              <a16:creationId xmlns:a16="http://schemas.microsoft.com/office/drawing/2014/main" id="{00000000-0008-0000-0200-00005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8" name="Text Box 697">
          <a:extLst>
            <a:ext uri="{FF2B5EF4-FFF2-40B4-BE49-F238E27FC236}">
              <a16:creationId xmlns:a16="http://schemas.microsoft.com/office/drawing/2014/main" id="{00000000-0008-0000-0200-00005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599" name="Text Box 698">
          <a:extLst>
            <a:ext uri="{FF2B5EF4-FFF2-40B4-BE49-F238E27FC236}">
              <a16:creationId xmlns:a16="http://schemas.microsoft.com/office/drawing/2014/main" id="{00000000-0008-0000-0200-00005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00" name="Text Box 699">
          <a:extLst>
            <a:ext uri="{FF2B5EF4-FFF2-40B4-BE49-F238E27FC236}">
              <a16:creationId xmlns:a16="http://schemas.microsoft.com/office/drawing/2014/main" id="{00000000-0008-0000-0200-00005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01" name="Text Box 700">
          <a:extLst>
            <a:ext uri="{FF2B5EF4-FFF2-40B4-BE49-F238E27FC236}">
              <a16:creationId xmlns:a16="http://schemas.microsoft.com/office/drawing/2014/main" id="{00000000-0008-0000-0200-00005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02" name="Text Box 701">
          <a:extLst>
            <a:ext uri="{FF2B5EF4-FFF2-40B4-BE49-F238E27FC236}">
              <a16:creationId xmlns:a16="http://schemas.microsoft.com/office/drawing/2014/main" id="{00000000-0008-0000-0200-00005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03" name="Text Box 702">
          <a:extLst>
            <a:ext uri="{FF2B5EF4-FFF2-40B4-BE49-F238E27FC236}">
              <a16:creationId xmlns:a16="http://schemas.microsoft.com/office/drawing/2014/main" id="{00000000-0008-0000-0200-00005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04" name="Text Box 703">
          <a:extLst>
            <a:ext uri="{FF2B5EF4-FFF2-40B4-BE49-F238E27FC236}">
              <a16:creationId xmlns:a16="http://schemas.microsoft.com/office/drawing/2014/main" id="{00000000-0008-0000-0200-00005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05" name="Text Box 704">
          <a:extLst>
            <a:ext uri="{FF2B5EF4-FFF2-40B4-BE49-F238E27FC236}">
              <a16:creationId xmlns:a16="http://schemas.microsoft.com/office/drawing/2014/main" id="{00000000-0008-0000-0200-00005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06" name="Text Box 705">
          <a:extLst>
            <a:ext uri="{FF2B5EF4-FFF2-40B4-BE49-F238E27FC236}">
              <a16:creationId xmlns:a16="http://schemas.microsoft.com/office/drawing/2014/main" id="{00000000-0008-0000-0200-00005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07" name="Text Box 706">
          <a:extLst>
            <a:ext uri="{FF2B5EF4-FFF2-40B4-BE49-F238E27FC236}">
              <a16:creationId xmlns:a16="http://schemas.microsoft.com/office/drawing/2014/main" id="{00000000-0008-0000-0200-00005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08" name="Text Box 707">
          <a:extLst>
            <a:ext uri="{FF2B5EF4-FFF2-40B4-BE49-F238E27FC236}">
              <a16:creationId xmlns:a16="http://schemas.microsoft.com/office/drawing/2014/main" id="{00000000-0008-0000-0200-00006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09" name="Text Box 708">
          <a:extLst>
            <a:ext uri="{FF2B5EF4-FFF2-40B4-BE49-F238E27FC236}">
              <a16:creationId xmlns:a16="http://schemas.microsoft.com/office/drawing/2014/main" id="{00000000-0008-0000-0200-00006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0" name="Text Box 709">
          <a:extLst>
            <a:ext uri="{FF2B5EF4-FFF2-40B4-BE49-F238E27FC236}">
              <a16:creationId xmlns:a16="http://schemas.microsoft.com/office/drawing/2014/main" id="{00000000-0008-0000-0200-00006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11" name="Text Box 710">
          <a:extLst>
            <a:ext uri="{FF2B5EF4-FFF2-40B4-BE49-F238E27FC236}">
              <a16:creationId xmlns:a16="http://schemas.microsoft.com/office/drawing/2014/main" id="{00000000-0008-0000-0200-00006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2" name="Text Box 711">
          <a:extLst>
            <a:ext uri="{FF2B5EF4-FFF2-40B4-BE49-F238E27FC236}">
              <a16:creationId xmlns:a16="http://schemas.microsoft.com/office/drawing/2014/main" id="{00000000-0008-0000-0200-00006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3" name="Text Box 712">
          <a:extLst>
            <a:ext uri="{FF2B5EF4-FFF2-40B4-BE49-F238E27FC236}">
              <a16:creationId xmlns:a16="http://schemas.microsoft.com/office/drawing/2014/main" id="{00000000-0008-0000-0200-00006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14" name="Text Box 713">
          <a:extLst>
            <a:ext uri="{FF2B5EF4-FFF2-40B4-BE49-F238E27FC236}">
              <a16:creationId xmlns:a16="http://schemas.microsoft.com/office/drawing/2014/main" id="{00000000-0008-0000-0200-000066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5" name="Text Box 714">
          <a:extLst>
            <a:ext uri="{FF2B5EF4-FFF2-40B4-BE49-F238E27FC236}">
              <a16:creationId xmlns:a16="http://schemas.microsoft.com/office/drawing/2014/main" id="{00000000-0008-0000-0200-00006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6" name="Text Box 715">
          <a:extLst>
            <a:ext uri="{FF2B5EF4-FFF2-40B4-BE49-F238E27FC236}">
              <a16:creationId xmlns:a16="http://schemas.microsoft.com/office/drawing/2014/main" id="{00000000-0008-0000-0200-00006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617" name="Text Box 716">
          <a:extLst>
            <a:ext uri="{FF2B5EF4-FFF2-40B4-BE49-F238E27FC236}">
              <a16:creationId xmlns:a16="http://schemas.microsoft.com/office/drawing/2014/main" id="{00000000-0008-0000-0200-00006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18" name="Text Box 717">
          <a:extLst>
            <a:ext uri="{FF2B5EF4-FFF2-40B4-BE49-F238E27FC236}">
              <a16:creationId xmlns:a16="http://schemas.microsoft.com/office/drawing/2014/main" id="{00000000-0008-0000-0200-00006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19" name="Text Box 718">
          <a:extLst>
            <a:ext uri="{FF2B5EF4-FFF2-40B4-BE49-F238E27FC236}">
              <a16:creationId xmlns:a16="http://schemas.microsoft.com/office/drawing/2014/main" id="{00000000-0008-0000-0200-00006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0" name="Text Box 719">
          <a:extLst>
            <a:ext uri="{FF2B5EF4-FFF2-40B4-BE49-F238E27FC236}">
              <a16:creationId xmlns:a16="http://schemas.microsoft.com/office/drawing/2014/main" id="{00000000-0008-0000-0200-00006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21" name="Text Box 720">
          <a:extLst>
            <a:ext uri="{FF2B5EF4-FFF2-40B4-BE49-F238E27FC236}">
              <a16:creationId xmlns:a16="http://schemas.microsoft.com/office/drawing/2014/main" id="{00000000-0008-0000-0200-00006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2" name="Text Box 721">
          <a:extLst>
            <a:ext uri="{FF2B5EF4-FFF2-40B4-BE49-F238E27FC236}">
              <a16:creationId xmlns:a16="http://schemas.microsoft.com/office/drawing/2014/main" id="{00000000-0008-0000-0200-00006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3" name="Text Box 722">
          <a:extLst>
            <a:ext uri="{FF2B5EF4-FFF2-40B4-BE49-F238E27FC236}">
              <a16:creationId xmlns:a16="http://schemas.microsoft.com/office/drawing/2014/main" id="{00000000-0008-0000-0200-00006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24" name="Text Box 723">
          <a:extLst>
            <a:ext uri="{FF2B5EF4-FFF2-40B4-BE49-F238E27FC236}">
              <a16:creationId xmlns:a16="http://schemas.microsoft.com/office/drawing/2014/main" id="{00000000-0008-0000-0200-000070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25" name="Text Box 724">
          <a:extLst>
            <a:ext uri="{FF2B5EF4-FFF2-40B4-BE49-F238E27FC236}">
              <a16:creationId xmlns:a16="http://schemas.microsoft.com/office/drawing/2014/main" id="{00000000-0008-0000-0200-00007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6" name="Text Box 725">
          <a:extLst>
            <a:ext uri="{FF2B5EF4-FFF2-40B4-BE49-F238E27FC236}">
              <a16:creationId xmlns:a16="http://schemas.microsoft.com/office/drawing/2014/main" id="{00000000-0008-0000-0200-00007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7" name="Text Box 726">
          <a:extLst>
            <a:ext uri="{FF2B5EF4-FFF2-40B4-BE49-F238E27FC236}">
              <a16:creationId xmlns:a16="http://schemas.microsoft.com/office/drawing/2014/main" id="{00000000-0008-0000-0200-00007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28" name="Text Box 727">
          <a:extLst>
            <a:ext uri="{FF2B5EF4-FFF2-40B4-BE49-F238E27FC236}">
              <a16:creationId xmlns:a16="http://schemas.microsoft.com/office/drawing/2014/main" id="{00000000-0008-0000-0200-00007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29" name="Text Box 728">
          <a:extLst>
            <a:ext uri="{FF2B5EF4-FFF2-40B4-BE49-F238E27FC236}">
              <a16:creationId xmlns:a16="http://schemas.microsoft.com/office/drawing/2014/main" id="{00000000-0008-0000-0200-00007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0" name="Text Box 729">
          <a:extLst>
            <a:ext uri="{FF2B5EF4-FFF2-40B4-BE49-F238E27FC236}">
              <a16:creationId xmlns:a16="http://schemas.microsoft.com/office/drawing/2014/main" id="{00000000-0008-0000-0200-00007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31" name="Text Box 730">
          <a:extLst>
            <a:ext uri="{FF2B5EF4-FFF2-40B4-BE49-F238E27FC236}">
              <a16:creationId xmlns:a16="http://schemas.microsoft.com/office/drawing/2014/main" id="{00000000-0008-0000-0200-00007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2" name="Text Box 731">
          <a:extLst>
            <a:ext uri="{FF2B5EF4-FFF2-40B4-BE49-F238E27FC236}">
              <a16:creationId xmlns:a16="http://schemas.microsoft.com/office/drawing/2014/main" id="{00000000-0008-0000-0200-00007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3" name="Text Box 732">
          <a:extLst>
            <a:ext uri="{FF2B5EF4-FFF2-40B4-BE49-F238E27FC236}">
              <a16:creationId xmlns:a16="http://schemas.microsoft.com/office/drawing/2014/main" id="{00000000-0008-0000-0200-00007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34" name="Text Box 733">
          <a:extLst>
            <a:ext uri="{FF2B5EF4-FFF2-40B4-BE49-F238E27FC236}">
              <a16:creationId xmlns:a16="http://schemas.microsoft.com/office/drawing/2014/main" id="{00000000-0008-0000-0200-00007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35" name="Text Box 734">
          <a:extLst>
            <a:ext uri="{FF2B5EF4-FFF2-40B4-BE49-F238E27FC236}">
              <a16:creationId xmlns:a16="http://schemas.microsoft.com/office/drawing/2014/main" id="{00000000-0008-0000-0200-00007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6" name="Text Box 735">
          <a:extLst>
            <a:ext uri="{FF2B5EF4-FFF2-40B4-BE49-F238E27FC236}">
              <a16:creationId xmlns:a16="http://schemas.microsoft.com/office/drawing/2014/main" id="{00000000-0008-0000-0200-00007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7" name="Text Box 736">
          <a:extLst>
            <a:ext uri="{FF2B5EF4-FFF2-40B4-BE49-F238E27FC236}">
              <a16:creationId xmlns:a16="http://schemas.microsoft.com/office/drawing/2014/main" id="{00000000-0008-0000-0200-00007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38" name="Text Box 737">
          <a:extLst>
            <a:ext uri="{FF2B5EF4-FFF2-40B4-BE49-F238E27FC236}">
              <a16:creationId xmlns:a16="http://schemas.microsoft.com/office/drawing/2014/main" id="{00000000-0008-0000-0200-00007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39" name="Text Box 738">
          <a:extLst>
            <a:ext uri="{FF2B5EF4-FFF2-40B4-BE49-F238E27FC236}">
              <a16:creationId xmlns:a16="http://schemas.microsoft.com/office/drawing/2014/main" id="{00000000-0008-0000-0200-00007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0" name="Text Box 739">
          <a:extLst>
            <a:ext uri="{FF2B5EF4-FFF2-40B4-BE49-F238E27FC236}">
              <a16:creationId xmlns:a16="http://schemas.microsoft.com/office/drawing/2014/main" id="{00000000-0008-0000-0200-00008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41" name="Text Box 740">
          <a:extLst>
            <a:ext uri="{FF2B5EF4-FFF2-40B4-BE49-F238E27FC236}">
              <a16:creationId xmlns:a16="http://schemas.microsoft.com/office/drawing/2014/main" id="{00000000-0008-0000-0200-00008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42" name="Text Box 741">
          <a:extLst>
            <a:ext uri="{FF2B5EF4-FFF2-40B4-BE49-F238E27FC236}">
              <a16:creationId xmlns:a16="http://schemas.microsoft.com/office/drawing/2014/main" id="{00000000-0008-0000-0200-00008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3" name="Text Box 742">
          <a:extLst>
            <a:ext uri="{FF2B5EF4-FFF2-40B4-BE49-F238E27FC236}">
              <a16:creationId xmlns:a16="http://schemas.microsoft.com/office/drawing/2014/main" id="{00000000-0008-0000-0200-00008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4" name="Text Box 743">
          <a:extLst>
            <a:ext uri="{FF2B5EF4-FFF2-40B4-BE49-F238E27FC236}">
              <a16:creationId xmlns:a16="http://schemas.microsoft.com/office/drawing/2014/main" id="{00000000-0008-0000-0200-00008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45" name="Text Box 744">
          <a:extLst>
            <a:ext uri="{FF2B5EF4-FFF2-40B4-BE49-F238E27FC236}">
              <a16:creationId xmlns:a16="http://schemas.microsoft.com/office/drawing/2014/main" id="{00000000-0008-0000-0200-00008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6" name="Text Box 745">
          <a:extLst>
            <a:ext uri="{FF2B5EF4-FFF2-40B4-BE49-F238E27FC236}">
              <a16:creationId xmlns:a16="http://schemas.microsoft.com/office/drawing/2014/main" id="{00000000-0008-0000-0200-00008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7" name="Text Box 746">
          <a:extLst>
            <a:ext uri="{FF2B5EF4-FFF2-40B4-BE49-F238E27FC236}">
              <a16:creationId xmlns:a16="http://schemas.microsoft.com/office/drawing/2014/main" id="{00000000-0008-0000-0200-00008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48" name="Text Box 747">
          <a:extLst>
            <a:ext uri="{FF2B5EF4-FFF2-40B4-BE49-F238E27FC236}">
              <a16:creationId xmlns:a16="http://schemas.microsoft.com/office/drawing/2014/main" id="{00000000-0008-0000-0200-00008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49" name="Text Box 748">
          <a:extLst>
            <a:ext uri="{FF2B5EF4-FFF2-40B4-BE49-F238E27FC236}">
              <a16:creationId xmlns:a16="http://schemas.microsoft.com/office/drawing/2014/main" id="{00000000-0008-0000-0200-00008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0" name="Text Box 749">
          <a:extLst>
            <a:ext uri="{FF2B5EF4-FFF2-40B4-BE49-F238E27FC236}">
              <a16:creationId xmlns:a16="http://schemas.microsoft.com/office/drawing/2014/main" id="{00000000-0008-0000-0200-00008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51" name="Text Box 750">
          <a:extLst>
            <a:ext uri="{FF2B5EF4-FFF2-40B4-BE49-F238E27FC236}">
              <a16:creationId xmlns:a16="http://schemas.microsoft.com/office/drawing/2014/main" id="{00000000-0008-0000-0200-00008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2" name="Text Box 751">
          <a:extLst>
            <a:ext uri="{FF2B5EF4-FFF2-40B4-BE49-F238E27FC236}">
              <a16:creationId xmlns:a16="http://schemas.microsoft.com/office/drawing/2014/main" id="{00000000-0008-0000-0200-00008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3" name="Text Box 752">
          <a:extLst>
            <a:ext uri="{FF2B5EF4-FFF2-40B4-BE49-F238E27FC236}">
              <a16:creationId xmlns:a16="http://schemas.microsoft.com/office/drawing/2014/main" id="{00000000-0008-0000-0200-00008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54" name="Text Box 753">
          <a:extLst>
            <a:ext uri="{FF2B5EF4-FFF2-40B4-BE49-F238E27FC236}">
              <a16:creationId xmlns:a16="http://schemas.microsoft.com/office/drawing/2014/main" id="{00000000-0008-0000-0200-00008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5" name="Text Box 754">
          <a:extLst>
            <a:ext uri="{FF2B5EF4-FFF2-40B4-BE49-F238E27FC236}">
              <a16:creationId xmlns:a16="http://schemas.microsoft.com/office/drawing/2014/main" id="{00000000-0008-0000-0200-00008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6" name="Text Box 755">
          <a:extLst>
            <a:ext uri="{FF2B5EF4-FFF2-40B4-BE49-F238E27FC236}">
              <a16:creationId xmlns:a16="http://schemas.microsoft.com/office/drawing/2014/main" id="{00000000-0008-0000-0200-00009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57" name="Text Box 756">
          <a:extLst>
            <a:ext uri="{FF2B5EF4-FFF2-40B4-BE49-F238E27FC236}">
              <a16:creationId xmlns:a16="http://schemas.microsoft.com/office/drawing/2014/main" id="{00000000-0008-0000-0200-00009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8" name="Text Box 757">
          <a:extLst>
            <a:ext uri="{FF2B5EF4-FFF2-40B4-BE49-F238E27FC236}">
              <a16:creationId xmlns:a16="http://schemas.microsoft.com/office/drawing/2014/main" id="{00000000-0008-0000-0200-00009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59" name="Text Box 758">
          <a:extLst>
            <a:ext uri="{FF2B5EF4-FFF2-40B4-BE49-F238E27FC236}">
              <a16:creationId xmlns:a16="http://schemas.microsoft.com/office/drawing/2014/main" id="{00000000-0008-0000-0200-00009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60" name="Text Box 759">
          <a:extLst>
            <a:ext uri="{FF2B5EF4-FFF2-40B4-BE49-F238E27FC236}">
              <a16:creationId xmlns:a16="http://schemas.microsoft.com/office/drawing/2014/main" id="{00000000-0008-0000-0200-00009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61" name="Text Box 760">
          <a:extLst>
            <a:ext uri="{FF2B5EF4-FFF2-40B4-BE49-F238E27FC236}">
              <a16:creationId xmlns:a16="http://schemas.microsoft.com/office/drawing/2014/main" id="{00000000-0008-0000-0200-00009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2" name="Text Box 761">
          <a:extLst>
            <a:ext uri="{FF2B5EF4-FFF2-40B4-BE49-F238E27FC236}">
              <a16:creationId xmlns:a16="http://schemas.microsoft.com/office/drawing/2014/main" id="{00000000-0008-0000-0200-00009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3" name="Text Box 762">
          <a:extLst>
            <a:ext uri="{FF2B5EF4-FFF2-40B4-BE49-F238E27FC236}">
              <a16:creationId xmlns:a16="http://schemas.microsoft.com/office/drawing/2014/main" id="{00000000-0008-0000-0200-00009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64" name="Text Box 763">
          <a:extLst>
            <a:ext uri="{FF2B5EF4-FFF2-40B4-BE49-F238E27FC236}">
              <a16:creationId xmlns:a16="http://schemas.microsoft.com/office/drawing/2014/main" id="{00000000-0008-0000-0200-00009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5" name="Text Box 764">
          <a:extLst>
            <a:ext uri="{FF2B5EF4-FFF2-40B4-BE49-F238E27FC236}">
              <a16:creationId xmlns:a16="http://schemas.microsoft.com/office/drawing/2014/main" id="{00000000-0008-0000-0200-00009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6" name="Text Box 765">
          <a:extLst>
            <a:ext uri="{FF2B5EF4-FFF2-40B4-BE49-F238E27FC236}">
              <a16:creationId xmlns:a16="http://schemas.microsoft.com/office/drawing/2014/main" id="{00000000-0008-0000-0200-00009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67" name="Text Box 766">
          <a:extLst>
            <a:ext uri="{FF2B5EF4-FFF2-40B4-BE49-F238E27FC236}">
              <a16:creationId xmlns:a16="http://schemas.microsoft.com/office/drawing/2014/main" id="{00000000-0008-0000-0200-00009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8" name="Text Box 767">
          <a:extLst>
            <a:ext uri="{FF2B5EF4-FFF2-40B4-BE49-F238E27FC236}">
              <a16:creationId xmlns:a16="http://schemas.microsoft.com/office/drawing/2014/main" id="{00000000-0008-0000-0200-00009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69" name="Text Box 768">
          <a:extLst>
            <a:ext uri="{FF2B5EF4-FFF2-40B4-BE49-F238E27FC236}">
              <a16:creationId xmlns:a16="http://schemas.microsoft.com/office/drawing/2014/main" id="{00000000-0008-0000-0200-00009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670" name="Text Box 769">
          <a:extLst>
            <a:ext uri="{FF2B5EF4-FFF2-40B4-BE49-F238E27FC236}">
              <a16:creationId xmlns:a16="http://schemas.microsoft.com/office/drawing/2014/main" id="{00000000-0008-0000-0200-00009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1" name="Text Box 770">
          <a:extLst>
            <a:ext uri="{FF2B5EF4-FFF2-40B4-BE49-F238E27FC236}">
              <a16:creationId xmlns:a16="http://schemas.microsoft.com/office/drawing/2014/main" id="{00000000-0008-0000-0200-00009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2" name="Text Box 771">
          <a:extLst>
            <a:ext uri="{FF2B5EF4-FFF2-40B4-BE49-F238E27FC236}">
              <a16:creationId xmlns:a16="http://schemas.microsoft.com/office/drawing/2014/main" id="{00000000-0008-0000-0200-0000A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73" name="Text Box 772">
          <a:extLst>
            <a:ext uri="{FF2B5EF4-FFF2-40B4-BE49-F238E27FC236}">
              <a16:creationId xmlns:a16="http://schemas.microsoft.com/office/drawing/2014/main" id="{00000000-0008-0000-0200-0000A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4" name="Text Box 773">
          <a:extLst>
            <a:ext uri="{FF2B5EF4-FFF2-40B4-BE49-F238E27FC236}">
              <a16:creationId xmlns:a16="http://schemas.microsoft.com/office/drawing/2014/main" id="{00000000-0008-0000-0200-0000A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5" name="Text Box 774">
          <a:extLst>
            <a:ext uri="{FF2B5EF4-FFF2-40B4-BE49-F238E27FC236}">
              <a16:creationId xmlns:a16="http://schemas.microsoft.com/office/drawing/2014/main" id="{00000000-0008-0000-0200-0000A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76" name="Text Box 775">
          <a:extLst>
            <a:ext uri="{FF2B5EF4-FFF2-40B4-BE49-F238E27FC236}">
              <a16:creationId xmlns:a16="http://schemas.microsoft.com/office/drawing/2014/main" id="{00000000-0008-0000-0200-0000A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7" name="Text Box 776">
          <a:extLst>
            <a:ext uri="{FF2B5EF4-FFF2-40B4-BE49-F238E27FC236}">
              <a16:creationId xmlns:a16="http://schemas.microsoft.com/office/drawing/2014/main" id="{00000000-0008-0000-0200-0000A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78" name="Text Box 777">
          <a:extLst>
            <a:ext uri="{FF2B5EF4-FFF2-40B4-BE49-F238E27FC236}">
              <a16:creationId xmlns:a16="http://schemas.microsoft.com/office/drawing/2014/main" id="{00000000-0008-0000-0200-0000A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79" name="Text Box 778">
          <a:extLst>
            <a:ext uri="{FF2B5EF4-FFF2-40B4-BE49-F238E27FC236}">
              <a16:creationId xmlns:a16="http://schemas.microsoft.com/office/drawing/2014/main" id="{00000000-0008-0000-0200-0000A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80" name="Text Box 779">
          <a:extLst>
            <a:ext uri="{FF2B5EF4-FFF2-40B4-BE49-F238E27FC236}">
              <a16:creationId xmlns:a16="http://schemas.microsoft.com/office/drawing/2014/main" id="{00000000-0008-0000-0200-0000A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1" name="Text Box 780">
          <a:extLst>
            <a:ext uri="{FF2B5EF4-FFF2-40B4-BE49-F238E27FC236}">
              <a16:creationId xmlns:a16="http://schemas.microsoft.com/office/drawing/2014/main" id="{00000000-0008-0000-0200-0000A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2" name="Text Box 781">
          <a:extLst>
            <a:ext uri="{FF2B5EF4-FFF2-40B4-BE49-F238E27FC236}">
              <a16:creationId xmlns:a16="http://schemas.microsoft.com/office/drawing/2014/main" id="{00000000-0008-0000-0200-0000A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83" name="Text Box 782">
          <a:extLst>
            <a:ext uri="{FF2B5EF4-FFF2-40B4-BE49-F238E27FC236}">
              <a16:creationId xmlns:a16="http://schemas.microsoft.com/office/drawing/2014/main" id="{00000000-0008-0000-0200-0000A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4" name="Text Box 783">
          <a:extLst>
            <a:ext uri="{FF2B5EF4-FFF2-40B4-BE49-F238E27FC236}">
              <a16:creationId xmlns:a16="http://schemas.microsoft.com/office/drawing/2014/main" id="{00000000-0008-0000-0200-0000A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5" name="Text Box 784">
          <a:extLst>
            <a:ext uri="{FF2B5EF4-FFF2-40B4-BE49-F238E27FC236}">
              <a16:creationId xmlns:a16="http://schemas.microsoft.com/office/drawing/2014/main" id="{00000000-0008-0000-0200-0000A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86" name="Text Box 785">
          <a:extLst>
            <a:ext uri="{FF2B5EF4-FFF2-40B4-BE49-F238E27FC236}">
              <a16:creationId xmlns:a16="http://schemas.microsoft.com/office/drawing/2014/main" id="{00000000-0008-0000-0200-0000A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7" name="Text Box 786">
          <a:extLst>
            <a:ext uri="{FF2B5EF4-FFF2-40B4-BE49-F238E27FC236}">
              <a16:creationId xmlns:a16="http://schemas.microsoft.com/office/drawing/2014/main" id="{00000000-0008-0000-0200-0000A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88" name="Text Box 787">
          <a:extLst>
            <a:ext uri="{FF2B5EF4-FFF2-40B4-BE49-F238E27FC236}">
              <a16:creationId xmlns:a16="http://schemas.microsoft.com/office/drawing/2014/main" id="{00000000-0008-0000-0200-0000B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89" name="Text Box 788">
          <a:extLst>
            <a:ext uri="{FF2B5EF4-FFF2-40B4-BE49-F238E27FC236}">
              <a16:creationId xmlns:a16="http://schemas.microsoft.com/office/drawing/2014/main" id="{00000000-0008-0000-0200-0000B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0" name="Text Box 789">
          <a:extLst>
            <a:ext uri="{FF2B5EF4-FFF2-40B4-BE49-F238E27FC236}">
              <a16:creationId xmlns:a16="http://schemas.microsoft.com/office/drawing/2014/main" id="{00000000-0008-0000-0200-0000B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1" name="Text Box 790">
          <a:extLst>
            <a:ext uri="{FF2B5EF4-FFF2-40B4-BE49-F238E27FC236}">
              <a16:creationId xmlns:a16="http://schemas.microsoft.com/office/drawing/2014/main" id="{00000000-0008-0000-0200-0000B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92" name="Text Box 791">
          <a:extLst>
            <a:ext uri="{FF2B5EF4-FFF2-40B4-BE49-F238E27FC236}">
              <a16:creationId xmlns:a16="http://schemas.microsoft.com/office/drawing/2014/main" id="{00000000-0008-0000-0200-0000B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3" name="Text Box 792">
          <a:extLst>
            <a:ext uri="{FF2B5EF4-FFF2-40B4-BE49-F238E27FC236}">
              <a16:creationId xmlns:a16="http://schemas.microsoft.com/office/drawing/2014/main" id="{00000000-0008-0000-0200-0000B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4" name="Text Box 793">
          <a:extLst>
            <a:ext uri="{FF2B5EF4-FFF2-40B4-BE49-F238E27FC236}">
              <a16:creationId xmlns:a16="http://schemas.microsoft.com/office/drawing/2014/main" id="{00000000-0008-0000-0200-0000B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95" name="Text Box 794">
          <a:extLst>
            <a:ext uri="{FF2B5EF4-FFF2-40B4-BE49-F238E27FC236}">
              <a16:creationId xmlns:a16="http://schemas.microsoft.com/office/drawing/2014/main" id="{00000000-0008-0000-0200-0000B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6" name="Text Box 795">
          <a:extLst>
            <a:ext uri="{FF2B5EF4-FFF2-40B4-BE49-F238E27FC236}">
              <a16:creationId xmlns:a16="http://schemas.microsoft.com/office/drawing/2014/main" id="{00000000-0008-0000-0200-0000B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697" name="Text Box 796">
          <a:extLst>
            <a:ext uri="{FF2B5EF4-FFF2-40B4-BE49-F238E27FC236}">
              <a16:creationId xmlns:a16="http://schemas.microsoft.com/office/drawing/2014/main" id="{00000000-0008-0000-0200-0000B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98" name="Text Box 797">
          <a:extLst>
            <a:ext uri="{FF2B5EF4-FFF2-40B4-BE49-F238E27FC236}">
              <a16:creationId xmlns:a16="http://schemas.microsoft.com/office/drawing/2014/main" id="{00000000-0008-0000-0200-0000B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699" name="Text Box 798">
          <a:extLst>
            <a:ext uri="{FF2B5EF4-FFF2-40B4-BE49-F238E27FC236}">
              <a16:creationId xmlns:a16="http://schemas.microsoft.com/office/drawing/2014/main" id="{00000000-0008-0000-0200-0000B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0" name="Text Box 799">
          <a:extLst>
            <a:ext uri="{FF2B5EF4-FFF2-40B4-BE49-F238E27FC236}">
              <a16:creationId xmlns:a16="http://schemas.microsoft.com/office/drawing/2014/main" id="{00000000-0008-0000-0200-0000B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1" name="Text Box 800">
          <a:extLst>
            <a:ext uri="{FF2B5EF4-FFF2-40B4-BE49-F238E27FC236}">
              <a16:creationId xmlns:a16="http://schemas.microsoft.com/office/drawing/2014/main" id="{00000000-0008-0000-0200-0000B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02" name="Text Box 801">
          <a:extLst>
            <a:ext uri="{FF2B5EF4-FFF2-40B4-BE49-F238E27FC236}">
              <a16:creationId xmlns:a16="http://schemas.microsoft.com/office/drawing/2014/main" id="{00000000-0008-0000-0200-0000B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3" name="Text Box 802">
          <a:extLst>
            <a:ext uri="{FF2B5EF4-FFF2-40B4-BE49-F238E27FC236}">
              <a16:creationId xmlns:a16="http://schemas.microsoft.com/office/drawing/2014/main" id="{00000000-0008-0000-0200-0000B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4" name="Text Box 803">
          <a:extLst>
            <a:ext uri="{FF2B5EF4-FFF2-40B4-BE49-F238E27FC236}">
              <a16:creationId xmlns:a16="http://schemas.microsoft.com/office/drawing/2014/main" id="{00000000-0008-0000-0200-0000C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05" name="Text Box 804">
          <a:extLst>
            <a:ext uri="{FF2B5EF4-FFF2-40B4-BE49-F238E27FC236}">
              <a16:creationId xmlns:a16="http://schemas.microsoft.com/office/drawing/2014/main" id="{00000000-0008-0000-0200-0000C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6" name="Text Box 805">
          <a:extLst>
            <a:ext uri="{FF2B5EF4-FFF2-40B4-BE49-F238E27FC236}">
              <a16:creationId xmlns:a16="http://schemas.microsoft.com/office/drawing/2014/main" id="{00000000-0008-0000-0200-0000C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7" name="Text Box 806">
          <a:extLst>
            <a:ext uri="{FF2B5EF4-FFF2-40B4-BE49-F238E27FC236}">
              <a16:creationId xmlns:a16="http://schemas.microsoft.com/office/drawing/2014/main" id="{00000000-0008-0000-0200-0000C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08" name="Text Box 807">
          <a:extLst>
            <a:ext uri="{FF2B5EF4-FFF2-40B4-BE49-F238E27FC236}">
              <a16:creationId xmlns:a16="http://schemas.microsoft.com/office/drawing/2014/main" id="{00000000-0008-0000-0200-0000C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09" name="Text Box 808">
          <a:extLst>
            <a:ext uri="{FF2B5EF4-FFF2-40B4-BE49-F238E27FC236}">
              <a16:creationId xmlns:a16="http://schemas.microsoft.com/office/drawing/2014/main" id="{00000000-0008-0000-0200-0000C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0" name="Text Box 809">
          <a:extLst>
            <a:ext uri="{FF2B5EF4-FFF2-40B4-BE49-F238E27FC236}">
              <a16:creationId xmlns:a16="http://schemas.microsoft.com/office/drawing/2014/main" id="{00000000-0008-0000-0200-0000C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11" name="Text Box 810">
          <a:extLst>
            <a:ext uri="{FF2B5EF4-FFF2-40B4-BE49-F238E27FC236}">
              <a16:creationId xmlns:a16="http://schemas.microsoft.com/office/drawing/2014/main" id="{00000000-0008-0000-0200-0000C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2" name="Text Box 811">
          <a:extLst>
            <a:ext uri="{FF2B5EF4-FFF2-40B4-BE49-F238E27FC236}">
              <a16:creationId xmlns:a16="http://schemas.microsoft.com/office/drawing/2014/main" id="{00000000-0008-0000-0200-0000C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3" name="Text Box 812">
          <a:extLst>
            <a:ext uri="{FF2B5EF4-FFF2-40B4-BE49-F238E27FC236}">
              <a16:creationId xmlns:a16="http://schemas.microsoft.com/office/drawing/2014/main" id="{00000000-0008-0000-0200-0000C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14" name="Text Box 813">
          <a:extLst>
            <a:ext uri="{FF2B5EF4-FFF2-40B4-BE49-F238E27FC236}">
              <a16:creationId xmlns:a16="http://schemas.microsoft.com/office/drawing/2014/main" id="{00000000-0008-0000-0200-0000C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5" name="Text Box 814">
          <a:extLst>
            <a:ext uri="{FF2B5EF4-FFF2-40B4-BE49-F238E27FC236}">
              <a16:creationId xmlns:a16="http://schemas.microsoft.com/office/drawing/2014/main" id="{00000000-0008-0000-0200-0000C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6" name="Text Box 815">
          <a:extLst>
            <a:ext uri="{FF2B5EF4-FFF2-40B4-BE49-F238E27FC236}">
              <a16:creationId xmlns:a16="http://schemas.microsoft.com/office/drawing/2014/main" id="{00000000-0008-0000-0200-0000C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17" name="Text Box 816">
          <a:extLst>
            <a:ext uri="{FF2B5EF4-FFF2-40B4-BE49-F238E27FC236}">
              <a16:creationId xmlns:a16="http://schemas.microsoft.com/office/drawing/2014/main" id="{00000000-0008-0000-0200-0000C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18" name="Text Box 817">
          <a:extLst>
            <a:ext uri="{FF2B5EF4-FFF2-40B4-BE49-F238E27FC236}">
              <a16:creationId xmlns:a16="http://schemas.microsoft.com/office/drawing/2014/main" id="{00000000-0008-0000-0200-0000C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19" name="Text Box 818">
          <a:extLst>
            <a:ext uri="{FF2B5EF4-FFF2-40B4-BE49-F238E27FC236}">
              <a16:creationId xmlns:a16="http://schemas.microsoft.com/office/drawing/2014/main" id="{00000000-0008-0000-0200-0000C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0" name="Text Box 819">
          <a:extLst>
            <a:ext uri="{FF2B5EF4-FFF2-40B4-BE49-F238E27FC236}">
              <a16:creationId xmlns:a16="http://schemas.microsoft.com/office/drawing/2014/main" id="{00000000-0008-0000-0200-0000D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21" name="Text Box 820">
          <a:extLst>
            <a:ext uri="{FF2B5EF4-FFF2-40B4-BE49-F238E27FC236}">
              <a16:creationId xmlns:a16="http://schemas.microsoft.com/office/drawing/2014/main" id="{00000000-0008-0000-0200-0000D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2" name="Text Box 821">
          <a:extLst>
            <a:ext uri="{FF2B5EF4-FFF2-40B4-BE49-F238E27FC236}">
              <a16:creationId xmlns:a16="http://schemas.microsoft.com/office/drawing/2014/main" id="{00000000-0008-0000-0200-0000D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3" name="Text Box 822">
          <a:extLst>
            <a:ext uri="{FF2B5EF4-FFF2-40B4-BE49-F238E27FC236}">
              <a16:creationId xmlns:a16="http://schemas.microsoft.com/office/drawing/2014/main" id="{00000000-0008-0000-0200-0000D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24" name="Text Box 823">
          <a:extLst>
            <a:ext uri="{FF2B5EF4-FFF2-40B4-BE49-F238E27FC236}">
              <a16:creationId xmlns:a16="http://schemas.microsoft.com/office/drawing/2014/main" id="{00000000-0008-0000-0200-0000D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5" name="Text Box 824">
          <a:extLst>
            <a:ext uri="{FF2B5EF4-FFF2-40B4-BE49-F238E27FC236}">
              <a16:creationId xmlns:a16="http://schemas.microsoft.com/office/drawing/2014/main" id="{00000000-0008-0000-0200-0000D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6" name="Text Box 825">
          <a:extLst>
            <a:ext uri="{FF2B5EF4-FFF2-40B4-BE49-F238E27FC236}">
              <a16:creationId xmlns:a16="http://schemas.microsoft.com/office/drawing/2014/main" id="{00000000-0008-0000-0200-0000D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28574</xdr:rowOff>
    </xdr:to>
    <xdr:sp macro="" textlink="">
      <xdr:nvSpPr>
        <xdr:cNvPr id="727" name="Text Box 826">
          <a:extLst>
            <a:ext uri="{FF2B5EF4-FFF2-40B4-BE49-F238E27FC236}">
              <a16:creationId xmlns:a16="http://schemas.microsoft.com/office/drawing/2014/main" id="{00000000-0008-0000-0200-0000D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8" name="Text Box 827">
          <a:extLst>
            <a:ext uri="{FF2B5EF4-FFF2-40B4-BE49-F238E27FC236}">
              <a16:creationId xmlns:a16="http://schemas.microsoft.com/office/drawing/2014/main" id="{00000000-0008-0000-0200-0000D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29" name="Text Box 828">
          <a:extLst>
            <a:ext uri="{FF2B5EF4-FFF2-40B4-BE49-F238E27FC236}">
              <a16:creationId xmlns:a16="http://schemas.microsoft.com/office/drawing/2014/main" id="{00000000-0008-0000-0200-0000D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30" name="Text Box 829">
          <a:extLst>
            <a:ext uri="{FF2B5EF4-FFF2-40B4-BE49-F238E27FC236}">
              <a16:creationId xmlns:a16="http://schemas.microsoft.com/office/drawing/2014/main" id="{00000000-0008-0000-0200-0000D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1" name="Text Box 830">
          <a:extLst>
            <a:ext uri="{FF2B5EF4-FFF2-40B4-BE49-F238E27FC236}">
              <a16:creationId xmlns:a16="http://schemas.microsoft.com/office/drawing/2014/main" id="{00000000-0008-0000-0200-0000D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2" name="Text Box 831">
          <a:extLst>
            <a:ext uri="{FF2B5EF4-FFF2-40B4-BE49-F238E27FC236}">
              <a16:creationId xmlns:a16="http://schemas.microsoft.com/office/drawing/2014/main" id="{00000000-0008-0000-0200-0000D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33" name="Text Box 832">
          <a:extLst>
            <a:ext uri="{FF2B5EF4-FFF2-40B4-BE49-F238E27FC236}">
              <a16:creationId xmlns:a16="http://schemas.microsoft.com/office/drawing/2014/main" id="{00000000-0008-0000-0200-0000DD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4" name="Text Box 833">
          <a:extLst>
            <a:ext uri="{FF2B5EF4-FFF2-40B4-BE49-F238E27FC236}">
              <a16:creationId xmlns:a16="http://schemas.microsoft.com/office/drawing/2014/main" id="{00000000-0008-0000-0200-0000D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5" name="Text Box 834">
          <a:extLst>
            <a:ext uri="{FF2B5EF4-FFF2-40B4-BE49-F238E27FC236}">
              <a16:creationId xmlns:a16="http://schemas.microsoft.com/office/drawing/2014/main" id="{00000000-0008-0000-0200-0000D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36" name="Text Box 835">
          <a:extLst>
            <a:ext uri="{FF2B5EF4-FFF2-40B4-BE49-F238E27FC236}">
              <a16:creationId xmlns:a16="http://schemas.microsoft.com/office/drawing/2014/main" id="{00000000-0008-0000-0200-0000E0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37" name="Text Box 836">
          <a:extLst>
            <a:ext uri="{FF2B5EF4-FFF2-40B4-BE49-F238E27FC236}">
              <a16:creationId xmlns:a16="http://schemas.microsoft.com/office/drawing/2014/main" id="{00000000-0008-0000-0200-0000E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8" name="Text Box 837">
          <a:extLst>
            <a:ext uri="{FF2B5EF4-FFF2-40B4-BE49-F238E27FC236}">
              <a16:creationId xmlns:a16="http://schemas.microsoft.com/office/drawing/2014/main" id="{00000000-0008-0000-0200-0000E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39" name="Text Box 838">
          <a:extLst>
            <a:ext uri="{FF2B5EF4-FFF2-40B4-BE49-F238E27FC236}">
              <a16:creationId xmlns:a16="http://schemas.microsoft.com/office/drawing/2014/main" id="{00000000-0008-0000-0200-0000E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40" name="Text Box 839">
          <a:extLst>
            <a:ext uri="{FF2B5EF4-FFF2-40B4-BE49-F238E27FC236}">
              <a16:creationId xmlns:a16="http://schemas.microsoft.com/office/drawing/2014/main" id="{00000000-0008-0000-0200-0000E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1" name="Text Box 840">
          <a:extLst>
            <a:ext uri="{FF2B5EF4-FFF2-40B4-BE49-F238E27FC236}">
              <a16:creationId xmlns:a16="http://schemas.microsoft.com/office/drawing/2014/main" id="{00000000-0008-0000-0200-0000E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2" name="Text Box 841">
          <a:extLst>
            <a:ext uri="{FF2B5EF4-FFF2-40B4-BE49-F238E27FC236}">
              <a16:creationId xmlns:a16="http://schemas.microsoft.com/office/drawing/2014/main" id="{00000000-0008-0000-0200-0000E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43" name="Text Box 842">
          <a:extLst>
            <a:ext uri="{FF2B5EF4-FFF2-40B4-BE49-F238E27FC236}">
              <a16:creationId xmlns:a16="http://schemas.microsoft.com/office/drawing/2014/main" id="{00000000-0008-0000-0200-0000E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4" name="Text Box 843">
          <a:extLst>
            <a:ext uri="{FF2B5EF4-FFF2-40B4-BE49-F238E27FC236}">
              <a16:creationId xmlns:a16="http://schemas.microsoft.com/office/drawing/2014/main" id="{00000000-0008-0000-0200-0000E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5" name="Text Box 844">
          <a:extLst>
            <a:ext uri="{FF2B5EF4-FFF2-40B4-BE49-F238E27FC236}">
              <a16:creationId xmlns:a16="http://schemas.microsoft.com/office/drawing/2014/main" id="{00000000-0008-0000-0200-0000E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28575</xdr:rowOff>
    </xdr:to>
    <xdr:sp macro="" textlink="">
      <xdr:nvSpPr>
        <xdr:cNvPr id="746" name="Text Box 845">
          <a:extLst>
            <a:ext uri="{FF2B5EF4-FFF2-40B4-BE49-F238E27FC236}">
              <a16:creationId xmlns:a16="http://schemas.microsoft.com/office/drawing/2014/main" id="{00000000-0008-0000-0200-0000E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7" name="Text Box 846">
          <a:extLst>
            <a:ext uri="{FF2B5EF4-FFF2-40B4-BE49-F238E27FC236}">
              <a16:creationId xmlns:a16="http://schemas.microsoft.com/office/drawing/2014/main" id="{00000000-0008-0000-0200-0000E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48" name="Text Box 847">
          <a:extLst>
            <a:ext uri="{FF2B5EF4-FFF2-40B4-BE49-F238E27FC236}">
              <a16:creationId xmlns:a16="http://schemas.microsoft.com/office/drawing/2014/main" id="{00000000-0008-0000-0200-0000E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49" name="Text Box 848">
          <a:extLst>
            <a:ext uri="{FF2B5EF4-FFF2-40B4-BE49-F238E27FC236}">
              <a16:creationId xmlns:a16="http://schemas.microsoft.com/office/drawing/2014/main" id="{00000000-0008-0000-0200-0000E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0" name="Text Box 849">
          <a:extLst>
            <a:ext uri="{FF2B5EF4-FFF2-40B4-BE49-F238E27FC236}">
              <a16:creationId xmlns:a16="http://schemas.microsoft.com/office/drawing/2014/main" id="{00000000-0008-0000-0200-0000E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1" name="Text Box 850">
          <a:extLst>
            <a:ext uri="{FF2B5EF4-FFF2-40B4-BE49-F238E27FC236}">
              <a16:creationId xmlns:a16="http://schemas.microsoft.com/office/drawing/2014/main" id="{00000000-0008-0000-0200-0000E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52" name="Text Box 851">
          <a:extLst>
            <a:ext uri="{FF2B5EF4-FFF2-40B4-BE49-F238E27FC236}">
              <a16:creationId xmlns:a16="http://schemas.microsoft.com/office/drawing/2014/main" id="{00000000-0008-0000-0200-0000F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3" name="Text Box 852">
          <a:extLst>
            <a:ext uri="{FF2B5EF4-FFF2-40B4-BE49-F238E27FC236}">
              <a16:creationId xmlns:a16="http://schemas.microsoft.com/office/drawing/2014/main" id="{00000000-0008-0000-0200-0000F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4" name="Text Box 853">
          <a:extLst>
            <a:ext uri="{FF2B5EF4-FFF2-40B4-BE49-F238E27FC236}">
              <a16:creationId xmlns:a16="http://schemas.microsoft.com/office/drawing/2014/main" id="{00000000-0008-0000-0200-0000F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55" name="Text Box 854">
          <a:extLst>
            <a:ext uri="{FF2B5EF4-FFF2-40B4-BE49-F238E27FC236}">
              <a16:creationId xmlns:a16="http://schemas.microsoft.com/office/drawing/2014/main" id="{00000000-0008-0000-0200-0000F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56" name="Text Box 855">
          <a:extLst>
            <a:ext uri="{FF2B5EF4-FFF2-40B4-BE49-F238E27FC236}">
              <a16:creationId xmlns:a16="http://schemas.microsoft.com/office/drawing/2014/main" id="{00000000-0008-0000-0200-0000F4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7" name="Text Box 856">
          <a:extLst>
            <a:ext uri="{FF2B5EF4-FFF2-40B4-BE49-F238E27FC236}">
              <a16:creationId xmlns:a16="http://schemas.microsoft.com/office/drawing/2014/main" id="{00000000-0008-0000-0200-0000F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58" name="Text Box 857">
          <a:extLst>
            <a:ext uri="{FF2B5EF4-FFF2-40B4-BE49-F238E27FC236}">
              <a16:creationId xmlns:a16="http://schemas.microsoft.com/office/drawing/2014/main" id="{00000000-0008-0000-0200-0000F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59" name="Text Box 858">
          <a:extLst>
            <a:ext uri="{FF2B5EF4-FFF2-40B4-BE49-F238E27FC236}">
              <a16:creationId xmlns:a16="http://schemas.microsoft.com/office/drawing/2014/main" id="{00000000-0008-0000-0200-0000F7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0" name="Text Box 859">
          <a:extLst>
            <a:ext uri="{FF2B5EF4-FFF2-40B4-BE49-F238E27FC236}">
              <a16:creationId xmlns:a16="http://schemas.microsoft.com/office/drawing/2014/main" id="{00000000-0008-0000-0200-0000F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1" name="Text Box 860">
          <a:extLst>
            <a:ext uri="{FF2B5EF4-FFF2-40B4-BE49-F238E27FC236}">
              <a16:creationId xmlns:a16="http://schemas.microsoft.com/office/drawing/2014/main" id="{00000000-0008-0000-0200-0000F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62" name="Text Box 861">
          <a:extLst>
            <a:ext uri="{FF2B5EF4-FFF2-40B4-BE49-F238E27FC236}">
              <a16:creationId xmlns:a16="http://schemas.microsoft.com/office/drawing/2014/main" id="{00000000-0008-0000-0200-0000FA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3" name="Text Box 862">
          <a:extLst>
            <a:ext uri="{FF2B5EF4-FFF2-40B4-BE49-F238E27FC236}">
              <a16:creationId xmlns:a16="http://schemas.microsoft.com/office/drawing/2014/main" id="{00000000-0008-0000-0200-0000F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4" name="Text Box 863">
          <a:extLst>
            <a:ext uri="{FF2B5EF4-FFF2-40B4-BE49-F238E27FC236}">
              <a16:creationId xmlns:a16="http://schemas.microsoft.com/office/drawing/2014/main" id="{00000000-0008-0000-0200-0000F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65" name="Text Box 864">
          <a:extLst>
            <a:ext uri="{FF2B5EF4-FFF2-40B4-BE49-F238E27FC236}">
              <a16:creationId xmlns:a16="http://schemas.microsoft.com/office/drawing/2014/main" id="{00000000-0008-0000-0200-0000F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6" name="Text Box 865">
          <a:extLst>
            <a:ext uri="{FF2B5EF4-FFF2-40B4-BE49-F238E27FC236}">
              <a16:creationId xmlns:a16="http://schemas.microsoft.com/office/drawing/2014/main" id="{00000000-0008-0000-0200-0000F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38100</xdr:rowOff>
    </xdr:to>
    <xdr:sp macro="" textlink="">
      <xdr:nvSpPr>
        <xdr:cNvPr id="767" name="Text Box 866">
          <a:extLst>
            <a:ext uri="{FF2B5EF4-FFF2-40B4-BE49-F238E27FC236}">
              <a16:creationId xmlns:a16="http://schemas.microsoft.com/office/drawing/2014/main" id="{00000000-0008-0000-0200-0000F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324</xdr:row>
      <xdr:rowOff>0</xdr:rowOff>
    </xdr:from>
    <xdr:to>
      <xdr:col>1</xdr:col>
      <xdr:colOff>495300</xdr:colOff>
      <xdr:row>324</xdr:row>
      <xdr:rowOff>28576</xdr:rowOff>
    </xdr:to>
    <xdr:sp macro="" textlink="">
      <xdr:nvSpPr>
        <xdr:cNvPr id="768" name="Text Box 867">
          <a:extLst>
            <a:ext uri="{FF2B5EF4-FFF2-40B4-BE49-F238E27FC236}">
              <a16:creationId xmlns:a16="http://schemas.microsoft.com/office/drawing/2014/main" id="{00000000-0008-0000-0200-00000003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781050</xdr:colOff>
      <xdr:row>324</xdr:row>
      <xdr:rowOff>0</xdr:rowOff>
    </xdr:from>
    <xdr:to>
      <xdr:col>1</xdr:col>
      <xdr:colOff>781050</xdr:colOff>
      <xdr:row>324</xdr:row>
      <xdr:rowOff>38100</xdr:rowOff>
    </xdr:to>
    <xdr:sp macro="" textlink="">
      <xdr:nvSpPr>
        <xdr:cNvPr id="769" name="Text Box 868">
          <a:extLst>
            <a:ext uri="{FF2B5EF4-FFF2-40B4-BE49-F238E27FC236}">
              <a16:creationId xmlns:a16="http://schemas.microsoft.com/office/drawing/2014/main" id="{00000000-0008-0000-0200-000001030000}"/>
            </a:ext>
          </a:extLst>
        </xdr:cNvPr>
        <xdr:cNvSpPr txBox="1">
          <a:spLocks noChangeArrowheads="1"/>
        </xdr:cNvSpPr>
      </xdr:nvSpPr>
      <xdr:spPr bwMode="auto">
        <a:xfrm>
          <a:off x="136207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2590800</xdr:colOff>
      <xdr:row>324</xdr:row>
      <xdr:rowOff>0</xdr:rowOff>
    </xdr:from>
    <xdr:to>
      <xdr:col>1</xdr:col>
      <xdr:colOff>2590800</xdr:colOff>
      <xdr:row>324</xdr:row>
      <xdr:rowOff>38100</xdr:rowOff>
    </xdr:to>
    <xdr:sp macro="" textlink="">
      <xdr:nvSpPr>
        <xdr:cNvPr id="770" name="Text Box 869">
          <a:extLst>
            <a:ext uri="{FF2B5EF4-FFF2-40B4-BE49-F238E27FC236}">
              <a16:creationId xmlns:a16="http://schemas.microsoft.com/office/drawing/2014/main" id="{00000000-0008-0000-0200-000002030000}"/>
            </a:ext>
          </a:extLst>
        </xdr:cNvPr>
        <xdr:cNvSpPr txBox="1">
          <a:spLocks noChangeArrowheads="1"/>
        </xdr:cNvSpPr>
      </xdr:nvSpPr>
      <xdr:spPr bwMode="auto">
        <a:xfrm>
          <a:off x="3171825" y="16244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3733800</xdr:colOff>
      <xdr:row>324</xdr:row>
      <xdr:rowOff>0</xdr:rowOff>
    </xdr:from>
    <xdr:to>
      <xdr:col>1</xdr:col>
      <xdr:colOff>3733800</xdr:colOff>
      <xdr:row>324</xdr:row>
      <xdr:rowOff>38100</xdr:rowOff>
    </xdr:to>
    <xdr:sp macro="" textlink="">
      <xdr:nvSpPr>
        <xdr:cNvPr id="771" name="Text Box 870">
          <a:extLst>
            <a:ext uri="{FF2B5EF4-FFF2-40B4-BE49-F238E27FC236}">
              <a16:creationId xmlns:a16="http://schemas.microsoft.com/office/drawing/2014/main" id="{00000000-0008-0000-0200-000003030000}"/>
            </a:ext>
          </a:extLst>
        </xdr:cNvPr>
        <xdr:cNvSpPr txBox="1">
          <a:spLocks noChangeArrowheads="1"/>
        </xdr:cNvSpPr>
      </xdr:nvSpPr>
      <xdr:spPr bwMode="auto">
        <a:xfrm>
          <a:off x="4314825" y="165544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495300</xdr:colOff>
      <xdr:row>324</xdr:row>
      <xdr:rowOff>0</xdr:rowOff>
    </xdr:from>
    <xdr:ext cx="0" cy="38100"/>
    <xdr:sp macro="" textlink="">
      <xdr:nvSpPr>
        <xdr:cNvPr id="772" name="Text Box 101">
          <a:extLst>
            <a:ext uri="{FF2B5EF4-FFF2-40B4-BE49-F238E27FC236}">
              <a16:creationId xmlns:a16="http://schemas.microsoft.com/office/drawing/2014/main" id="{00000000-0008-0000-0200-00000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773" name="Text Box 102">
          <a:extLst>
            <a:ext uri="{FF2B5EF4-FFF2-40B4-BE49-F238E27FC236}">
              <a16:creationId xmlns:a16="http://schemas.microsoft.com/office/drawing/2014/main" id="{00000000-0008-0000-0200-00000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4" name="Text Box 103">
          <a:extLst>
            <a:ext uri="{FF2B5EF4-FFF2-40B4-BE49-F238E27FC236}">
              <a16:creationId xmlns:a16="http://schemas.microsoft.com/office/drawing/2014/main" id="{00000000-0008-0000-0200-00000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5" name="Text Box 104">
          <a:extLst>
            <a:ext uri="{FF2B5EF4-FFF2-40B4-BE49-F238E27FC236}">
              <a16:creationId xmlns:a16="http://schemas.microsoft.com/office/drawing/2014/main" id="{00000000-0008-0000-0200-00000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6" name="Text Box 105">
          <a:extLst>
            <a:ext uri="{FF2B5EF4-FFF2-40B4-BE49-F238E27FC236}">
              <a16:creationId xmlns:a16="http://schemas.microsoft.com/office/drawing/2014/main" id="{00000000-0008-0000-0200-00000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7" name="Text Box 106">
          <a:extLst>
            <a:ext uri="{FF2B5EF4-FFF2-40B4-BE49-F238E27FC236}">
              <a16:creationId xmlns:a16="http://schemas.microsoft.com/office/drawing/2014/main" id="{00000000-0008-0000-0200-00000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8" name="Text Box 107">
          <a:extLst>
            <a:ext uri="{FF2B5EF4-FFF2-40B4-BE49-F238E27FC236}">
              <a16:creationId xmlns:a16="http://schemas.microsoft.com/office/drawing/2014/main" id="{00000000-0008-0000-0200-00000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79" name="Text Box 108">
          <a:extLst>
            <a:ext uri="{FF2B5EF4-FFF2-40B4-BE49-F238E27FC236}">
              <a16:creationId xmlns:a16="http://schemas.microsoft.com/office/drawing/2014/main" id="{00000000-0008-0000-0200-00000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0" name="Text Box 109">
          <a:extLst>
            <a:ext uri="{FF2B5EF4-FFF2-40B4-BE49-F238E27FC236}">
              <a16:creationId xmlns:a16="http://schemas.microsoft.com/office/drawing/2014/main" id="{00000000-0008-0000-0200-00000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1" name="Text Box 110">
          <a:extLst>
            <a:ext uri="{FF2B5EF4-FFF2-40B4-BE49-F238E27FC236}">
              <a16:creationId xmlns:a16="http://schemas.microsoft.com/office/drawing/2014/main" id="{00000000-0008-0000-0200-00000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2" name="Text Box 111">
          <a:extLst>
            <a:ext uri="{FF2B5EF4-FFF2-40B4-BE49-F238E27FC236}">
              <a16:creationId xmlns:a16="http://schemas.microsoft.com/office/drawing/2014/main" id="{00000000-0008-0000-0200-00000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3" name="Text Box 112">
          <a:extLst>
            <a:ext uri="{FF2B5EF4-FFF2-40B4-BE49-F238E27FC236}">
              <a16:creationId xmlns:a16="http://schemas.microsoft.com/office/drawing/2014/main" id="{00000000-0008-0000-0200-00000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4" name="Text Box 113">
          <a:extLst>
            <a:ext uri="{FF2B5EF4-FFF2-40B4-BE49-F238E27FC236}">
              <a16:creationId xmlns:a16="http://schemas.microsoft.com/office/drawing/2014/main" id="{00000000-0008-0000-0200-00001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5" name="Text Box 114">
          <a:extLst>
            <a:ext uri="{FF2B5EF4-FFF2-40B4-BE49-F238E27FC236}">
              <a16:creationId xmlns:a16="http://schemas.microsoft.com/office/drawing/2014/main" id="{00000000-0008-0000-0200-00001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6" name="Text Box 115">
          <a:extLst>
            <a:ext uri="{FF2B5EF4-FFF2-40B4-BE49-F238E27FC236}">
              <a16:creationId xmlns:a16="http://schemas.microsoft.com/office/drawing/2014/main" id="{00000000-0008-0000-0200-00001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7" name="Text Box 116">
          <a:extLst>
            <a:ext uri="{FF2B5EF4-FFF2-40B4-BE49-F238E27FC236}">
              <a16:creationId xmlns:a16="http://schemas.microsoft.com/office/drawing/2014/main" id="{00000000-0008-0000-0200-00001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8" name="Text Box 117">
          <a:extLst>
            <a:ext uri="{FF2B5EF4-FFF2-40B4-BE49-F238E27FC236}">
              <a16:creationId xmlns:a16="http://schemas.microsoft.com/office/drawing/2014/main" id="{00000000-0008-0000-0200-00001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89" name="Text Box 118">
          <a:extLst>
            <a:ext uri="{FF2B5EF4-FFF2-40B4-BE49-F238E27FC236}">
              <a16:creationId xmlns:a16="http://schemas.microsoft.com/office/drawing/2014/main" id="{00000000-0008-0000-0200-00001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0" name="Text Box 119">
          <a:extLst>
            <a:ext uri="{FF2B5EF4-FFF2-40B4-BE49-F238E27FC236}">
              <a16:creationId xmlns:a16="http://schemas.microsoft.com/office/drawing/2014/main" id="{00000000-0008-0000-0200-00001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1" name="Text Box 120">
          <a:extLst>
            <a:ext uri="{FF2B5EF4-FFF2-40B4-BE49-F238E27FC236}">
              <a16:creationId xmlns:a16="http://schemas.microsoft.com/office/drawing/2014/main" id="{00000000-0008-0000-0200-00001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2" name="Text Box 121">
          <a:extLst>
            <a:ext uri="{FF2B5EF4-FFF2-40B4-BE49-F238E27FC236}">
              <a16:creationId xmlns:a16="http://schemas.microsoft.com/office/drawing/2014/main" id="{00000000-0008-0000-0200-00001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3" name="Text Box 122">
          <a:extLst>
            <a:ext uri="{FF2B5EF4-FFF2-40B4-BE49-F238E27FC236}">
              <a16:creationId xmlns:a16="http://schemas.microsoft.com/office/drawing/2014/main" id="{00000000-0008-0000-0200-00001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4" name="Text Box 123">
          <a:extLst>
            <a:ext uri="{FF2B5EF4-FFF2-40B4-BE49-F238E27FC236}">
              <a16:creationId xmlns:a16="http://schemas.microsoft.com/office/drawing/2014/main" id="{00000000-0008-0000-0200-00001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5" name="Text Box 124">
          <a:extLst>
            <a:ext uri="{FF2B5EF4-FFF2-40B4-BE49-F238E27FC236}">
              <a16:creationId xmlns:a16="http://schemas.microsoft.com/office/drawing/2014/main" id="{00000000-0008-0000-0200-00001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6" name="Text Box 125">
          <a:extLst>
            <a:ext uri="{FF2B5EF4-FFF2-40B4-BE49-F238E27FC236}">
              <a16:creationId xmlns:a16="http://schemas.microsoft.com/office/drawing/2014/main" id="{00000000-0008-0000-0200-00001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7" name="Text Box 126">
          <a:extLst>
            <a:ext uri="{FF2B5EF4-FFF2-40B4-BE49-F238E27FC236}">
              <a16:creationId xmlns:a16="http://schemas.microsoft.com/office/drawing/2014/main" id="{00000000-0008-0000-0200-00001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8" name="Text Box 127">
          <a:extLst>
            <a:ext uri="{FF2B5EF4-FFF2-40B4-BE49-F238E27FC236}">
              <a16:creationId xmlns:a16="http://schemas.microsoft.com/office/drawing/2014/main" id="{00000000-0008-0000-0200-00001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799" name="Text Box 128">
          <a:extLst>
            <a:ext uri="{FF2B5EF4-FFF2-40B4-BE49-F238E27FC236}">
              <a16:creationId xmlns:a16="http://schemas.microsoft.com/office/drawing/2014/main" id="{00000000-0008-0000-0200-00001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00" name="Text Box 129">
          <a:extLst>
            <a:ext uri="{FF2B5EF4-FFF2-40B4-BE49-F238E27FC236}">
              <a16:creationId xmlns:a16="http://schemas.microsoft.com/office/drawing/2014/main" id="{00000000-0008-0000-0200-00002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162204"/>
    <xdr:sp macro="" textlink="">
      <xdr:nvSpPr>
        <xdr:cNvPr id="801" name="Text Box 130">
          <a:extLst>
            <a:ext uri="{FF2B5EF4-FFF2-40B4-BE49-F238E27FC236}">
              <a16:creationId xmlns:a16="http://schemas.microsoft.com/office/drawing/2014/main" id="{00000000-0008-0000-0200-000021030000}"/>
            </a:ext>
          </a:extLst>
        </xdr:cNvPr>
        <xdr:cNvSpPr txBox="1">
          <a:spLocks noChangeArrowheads="1"/>
        </xdr:cNvSpPr>
      </xdr:nvSpPr>
      <xdr:spPr bwMode="auto">
        <a:xfrm>
          <a:off x="1076325" y="164115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802" name="Text Box 131">
          <a:extLst>
            <a:ext uri="{FF2B5EF4-FFF2-40B4-BE49-F238E27FC236}">
              <a16:creationId xmlns:a16="http://schemas.microsoft.com/office/drawing/2014/main" id="{00000000-0008-0000-0200-000022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03" name="Text Box 132">
          <a:extLst>
            <a:ext uri="{FF2B5EF4-FFF2-40B4-BE49-F238E27FC236}">
              <a16:creationId xmlns:a16="http://schemas.microsoft.com/office/drawing/2014/main" id="{00000000-0008-0000-0200-00002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04" name="Text Box 133">
          <a:extLst>
            <a:ext uri="{FF2B5EF4-FFF2-40B4-BE49-F238E27FC236}">
              <a16:creationId xmlns:a16="http://schemas.microsoft.com/office/drawing/2014/main" id="{00000000-0008-0000-0200-00002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05" name="Text Box 134">
          <a:extLst>
            <a:ext uri="{FF2B5EF4-FFF2-40B4-BE49-F238E27FC236}">
              <a16:creationId xmlns:a16="http://schemas.microsoft.com/office/drawing/2014/main" id="{00000000-0008-0000-0200-000025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06" name="Text Box 135">
          <a:extLst>
            <a:ext uri="{FF2B5EF4-FFF2-40B4-BE49-F238E27FC236}">
              <a16:creationId xmlns:a16="http://schemas.microsoft.com/office/drawing/2014/main" id="{00000000-0008-0000-0200-00002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07" name="Text Box 136">
          <a:extLst>
            <a:ext uri="{FF2B5EF4-FFF2-40B4-BE49-F238E27FC236}">
              <a16:creationId xmlns:a16="http://schemas.microsoft.com/office/drawing/2014/main" id="{00000000-0008-0000-0200-00002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808" name="Text Box 137">
          <a:extLst>
            <a:ext uri="{FF2B5EF4-FFF2-40B4-BE49-F238E27FC236}">
              <a16:creationId xmlns:a16="http://schemas.microsoft.com/office/drawing/2014/main" id="{00000000-0008-0000-0200-000028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09" name="Text Box 138">
          <a:extLst>
            <a:ext uri="{FF2B5EF4-FFF2-40B4-BE49-F238E27FC236}">
              <a16:creationId xmlns:a16="http://schemas.microsoft.com/office/drawing/2014/main" id="{00000000-0008-0000-0200-00002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0" name="Text Box 139">
          <a:extLst>
            <a:ext uri="{FF2B5EF4-FFF2-40B4-BE49-F238E27FC236}">
              <a16:creationId xmlns:a16="http://schemas.microsoft.com/office/drawing/2014/main" id="{00000000-0008-0000-0200-00002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11" name="Text Box 140">
          <a:extLst>
            <a:ext uri="{FF2B5EF4-FFF2-40B4-BE49-F238E27FC236}">
              <a16:creationId xmlns:a16="http://schemas.microsoft.com/office/drawing/2014/main" id="{00000000-0008-0000-0200-00002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2" name="Text Box 141">
          <a:extLst>
            <a:ext uri="{FF2B5EF4-FFF2-40B4-BE49-F238E27FC236}">
              <a16:creationId xmlns:a16="http://schemas.microsoft.com/office/drawing/2014/main" id="{00000000-0008-0000-0200-00002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3" name="Text Box 142">
          <a:extLst>
            <a:ext uri="{FF2B5EF4-FFF2-40B4-BE49-F238E27FC236}">
              <a16:creationId xmlns:a16="http://schemas.microsoft.com/office/drawing/2014/main" id="{00000000-0008-0000-0200-00002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814" name="Text Box 143">
          <a:extLst>
            <a:ext uri="{FF2B5EF4-FFF2-40B4-BE49-F238E27FC236}">
              <a16:creationId xmlns:a16="http://schemas.microsoft.com/office/drawing/2014/main" id="{00000000-0008-0000-0200-00002E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5" name="Text Box 144">
          <a:extLst>
            <a:ext uri="{FF2B5EF4-FFF2-40B4-BE49-F238E27FC236}">
              <a16:creationId xmlns:a16="http://schemas.microsoft.com/office/drawing/2014/main" id="{00000000-0008-0000-0200-00002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6" name="Text Box 145">
          <a:extLst>
            <a:ext uri="{FF2B5EF4-FFF2-40B4-BE49-F238E27FC236}">
              <a16:creationId xmlns:a16="http://schemas.microsoft.com/office/drawing/2014/main" id="{00000000-0008-0000-0200-00003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17" name="Text Box 146">
          <a:extLst>
            <a:ext uri="{FF2B5EF4-FFF2-40B4-BE49-F238E27FC236}">
              <a16:creationId xmlns:a16="http://schemas.microsoft.com/office/drawing/2014/main" id="{00000000-0008-0000-0200-00003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18" name="Text Box 147">
          <a:extLst>
            <a:ext uri="{FF2B5EF4-FFF2-40B4-BE49-F238E27FC236}">
              <a16:creationId xmlns:a16="http://schemas.microsoft.com/office/drawing/2014/main" id="{00000000-0008-0000-0200-00003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19" name="Text Box 148">
          <a:extLst>
            <a:ext uri="{FF2B5EF4-FFF2-40B4-BE49-F238E27FC236}">
              <a16:creationId xmlns:a16="http://schemas.microsoft.com/office/drawing/2014/main" id="{00000000-0008-0000-0200-00003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0" name="Text Box 149">
          <a:extLst>
            <a:ext uri="{FF2B5EF4-FFF2-40B4-BE49-F238E27FC236}">
              <a16:creationId xmlns:a16="http://schemas.microsoft.com/office/drawing/2014/main" id="{00000000-0008-0000-0200-00003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21" name="Text Box 150">
          <a:extLst>
            <a:ext uri="{FF2B5EF4-FFF2-40B4-BE49-F238E27FC236}">
              <a16:creationId xmlns:a16="http://schemas.microsoft.com/office/drawing/2014/main" id="{00000000-0008-0000-0200-00003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2" name="Text Box 151">
          <a:extLst>
            <a:ext uri="{FF2B5EF4-FFF2-40B4-BE49-F238E27FC236}">
              <a16:creationId xmlns:a16="http://schemas.microsoft.com/office/drawing/2014/main" id="{00000000-0008-0000-0200-00003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3" name="Text Box 152">
          <a:extLst>
            <a:ext uri="{FF2B5EF4-FFF2-40B4-BE49-F238E27FC236}">
              <a16:creationId xmlns:a16="http://schemas.microsoft.com/office/drawing/2014/main" id="{00000000-0008-0000-0200-00003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24" name="Text Box 153">
          <a:extLst>
            <a:ext uri="{FF2B5EF4-FFF2-40B4-BE49-F238E27FC236}">
              <a16:creationId xmlns:a16="http://schemas.microsoft.com/office/drawing/2014/main" id="{00000000-0008-0000-0200-000038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5" name="Text Box 154">
          <a:extLst>
            <a:ext uri="{FF2B5EF4-FFF2-40B4-BE49-F238E27FC236}">
              <a16:creationId xmlns:a16="http://schemas.microsoft.com/office/drawing/2014/main" id="{00000000-0008-0000-0200-00003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6" name="Text Box 155">
          <a:extLst>
            <a:ext uri="{FF2B5EF4-FFF2-40B4-BE49-F238E27FC236}">
              <a16:creationId xmlns:a16="http://schemas.microsoft.com/office/drawing/2014/main" id="{00000000-0008-0000-0200-00003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27" name="Text Box 156">
          <a:extLst>
            <a:ext uri="{FF2B5EF4-FFF2-40B4-BE49-F238E27FC236}">
              <a16:creationId xmlns:a16="http://schemas.microsoft.com/office/drawing/2014/main" id="{00000000-0008-0000-0200-00003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8" name="Text Box 157">
          <a:extLst>
            <a:ext uri="{FF2B5EF4-FFF2-40B4-BE49-F238E27FC236}">
              <a16:creationId xmlns:a16="http://schemas.microsoft.com/office/drawing/2014/main" id="{00000000-0008-0000-0200-00003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29" name="Text Box 158">
          <a:extLst>
            <a:ext uri="{FF2B5EF4-FFF2-40B4-BE49-F238E27FC236}">
              <a16:creationId xmlns:a16="http://schemas.microsoft.com/office/drawing/2014/main" id="{00000000-0008-0000-0200-00003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30" name="Text Box 159">
          <a:extLst>
            <a:ext uri="{FF2B5EF4-FFF2-40B4-BE49-F238E27FC236}">
              <a16:creationId xmlns:a16="http://schemas.microsoft.com/office/drawing/2014/main" id="{00000000-0008-0000-0200-00003E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1" name="Text Box 160">
          <a:extLst>
            <a:ext uri="{FF2B5EF4-FFF2-40B4-BE49-F238E27FC236}">
              <a16:creationId xmlns:a16="http://schemas.microsoft.com/office/drawing/2014/main" id="{00000000-0008-0000-0200-00003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2" name="Text Box 161">
          <a:extLst>
            <a:ext uri="{FF2B5EF4-FFF2-40B4-BE49-F238E27FC236}">
              <a16:creationId xmlns:a16="http://schemas.microsoft.com/office/drawing/2014/main" id="{00000000-0008-0000-0200-00004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33" name="Text Box 162">
          <a:extLst>
            <a:ext uri="{FF2B5EF4-FFF2-40B4-BE49-F238E27FC236}">
              <a16:creationId xmlns:a16="http://schemas.microsoft.com/office/drawing/2014/main" id="{00000000-0008-0000-0200-00004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34" name="Text Box 163">
          <a:extLst>
            <a:ext uri="{FF2B5EF4-FFF2-40B4-BE49-F238E27FC236}">
              <a16:creationId xmlns:a16="http://schemas.microsoft.com/office/drawing/2014/main" id="{00000000-0008-0000-0200-000042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5" name="Text Box 164">
          <a:extLst>
            <a:ext uri="{FF2B5EF4-FFF2-40B4-BE49-F238E27FC236}">
              <a16:creationId xmlns:a16="http://schemas.microsoft.com/office/drawing/2014/main" id="{00000000-0008-0000-0200-00004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6" name="Text Box 165">
          <a:extLst>
            <a:ext uri="{FF2B5EF4-FFF2-40B4-BE49-F238E27FC236}">
              <a16:creationId xmlns:a16="http://schemas.microsoft.com/office/drawing/2014/main" id="{00000000-0008-0000-0200-00004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37" name="Text Box 166">
          <a:extLst>
            <a:ext uri="{FF2B5EF4-FFF2-40B4-BE49-F238E27FC236}">
              <a16:creationId xmlns:a16="http://schemas.microsoft.com/office/drawing/2014/main" id="{00000000-0008-0000-0200-00004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8" name="Text Box 167">
          <a:extLst>
            <a:ext uri="{FF2B5EF4-FFF2-40B4-BE49-F238E27FC236}">
              <a16:creationId xmlns:a16="http://schemas.microsoft.com/office/drawing/2014/main" id="{00000000-0008-0000-0200-00004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39" name="Text Box 168">
          <a:extLst>
            <a:ext uri="{FF2B5EF4-FFF2-40B4-BE49-F238E27FC236}">
              <a16:creationId xmlns:a16="http://schemas.microsoft.com/office/drawing/2014/main" id="{00000000-0008-0000-0200-00004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40" name="Text Box 169">
          <a:extLst>
            <a:ext uri="{FF2B5EF4-FFF2-40B4-BE49-F238E27FC236}">
              <a16:creationId xmlns:a16="http://schemas.microsoft.com/office/drawing/2014/main" id="{00000000-0008-0000-0200-000048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1" name="Text Box 170">
          <a:extLst>
            <a:ext uri="{FF2B5EF4-FFF2-40B4-BE49-F238E27FC236}">
              <a16:creationId xmlns:a16="http://schemas.microsoft.com/office/drawing/2014/main" id="{00000000-0008-0000-0200-00004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2" name="Text Box 171">
          <a:extLst>
            <a:ext uri="{FF2B5EF4-FFF2-40B4-BE49-F238E27FC236}">
              <a16:creationId xmlns:a16="http://schemas.microsoft.com/office/drawing/2014/main" id="{00000000-0008-0000-0200-00004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43" name="Text Box 172">
          <a:extLst>
            <a:ext uri="{FF2B5EF4-FFF2-40B4-BE49-F238E27FC236}">
              <a16:creationId xmlns:a16="http://schemas.microsoft.com/office/drawing/2014/main" id="{00000000-0008-0000-0200-00004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4" name="Text Box 173">
          <a:extLst>
            <a:ext uri="{FF2B5EF4-FFF2-40B4-BE49-F238E27FC236}">
              <a16:creationId xmlns:a16="http://schemas.microsoft.com/office/drawing/2014/main" id="{00000000-0008-0000-0200-00004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5" name="Text Box 174">
          <a:extLst>
            <a:ext uri="{FF2B5EF4-FFF2-40B4-BE49-F238E27FC236}">
              <a16:creationId xmlns:a16="http://schemas.microsoft.com/office/drawing/2014/main" id="{00000000-0008-0000-0200-00004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46" name="Text Box 175">
          <a:extLst>
            <a:ext uri="{FF2B5EF4-FFF2-40B4-BE49-F238E27FC236}">
              <a16:creationId xmlns:a16="http://schemas.microsoft.com/office/drawing/2014/main" id="{00000000-0008-0000-0200-00004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7" name="Text Box 176">
          <a:extLst>
            <a:ext uri="{FF2B5EF4-FFF2-40B4-BE49-F238E27FC236}">
              <a16:creationId xmlns:a16="http://schemas.microsoft.com/office/drawing/2014/main" id="{00000000-0008-0000-0200-00004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48" name="Text Box 177">
          <a:extLst>
            <a:ext uri="{FF2B5EF4-FFF2-40B4-BE49-F238E27FC236}">
              <a16:creationId xmlns:a16="http://schemas.microsoft.com/office/drawing/2014/main" id="{00000000-0008-0000-0200-00005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849" name="Text Box 178">
          <a:extLst>
            <a:ext uri="{FF2B5EF4-FFF2-40B4-BE49-F238E27FC236}">
              <a16:creationId xmlns:a16="http://schemas.microsoft.com/office/drawing/2014/main" id="{00000000-0008-0000-0200-00005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50" name="Text Box 179">
          <a:extLst>
            <a:ext uri="{FF2B5EF4-FFF2-40B4-BE49-F238E27FC236}">
              <a16:creationId xmlns:a16="http://schemas.microsoft.com/office/drawing/2014/main" id="{00000000-0008-0000-0200-00005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51" name="Text Box 180">
          <a:extLst>
            <a:ext uri="{FF2B5EF4-FFF2-40B4-BE49-F238E27FC236}">
              <a16:creationId xmlns:a16="http://schemas.microsoft.com/office/drawing/2014/main" id="{00000000-0008-0000-0200-00005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2" name="Text Box 181">
          <a:extLst>
            <a:ext uri="{FF2B5EF4-FFF2-40B4-BE49-F238E27FC236}">
              <a16:creationId xmlns:a16="http://schemas.microsoft.com/office/drawing/2014/main" id="{00000000-0008-0000-0200-00005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3" name="Text Box 182">
          <a:extLst>
            <a:ext uri="{FF2B5EF4-FFF2-40B4-BE49-F238E27FC236}">
              <a16:creationId xmlns:a16="http://schemas.microsoft.com/office/drawing/2014/main" id="{00000000-0008-0000-0200-00005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4" name="Text Box 183">
          <a:extLst>
            <a:ext uri="{FF2B5EF4-FFF2-40B4-BE49-F238E27FC236}">
              <a16:creationId xmlns:a16="http://schemas.microsoft.com/office/drawing/2014/main" id="{00000000-0008-0000-0200-00005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5" name="Text Box 184">
          <a:extLst>
            <a:ext uri="{FF2B5EF4-FFF2-40B4-BE49-F238E27FC236}">
              <a16:creationId xmlns:a16="http://schemas.microsoft.com/office/drawing/2014/main" id="{00000000-0008-0000-0200-00005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6" name="Text Box 185">
          <a:extLst>
            <a:ext uri="{FF2B5EF4-FFF2-40B4-BE49-F238E27FC236}">
              <a16:creationId xmlns:a16="http://schemas.microsoft.com/office/drawing/2014/main" id="{00000000-0008-0000-0200-00005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7" name="Text Box 186">
          <a:extLst>
            <a:ext uri="{FF2B5EF4-FFF2-40B4-BE49-F238E27FC236}">
              <a16:creationId xmlns:a16="http://schemas.microsoft.com/office/drawing/2014/main" id="{00000000-0008-0000-0200-00005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8" name="Text Box 187">
          <a:extLst>
            <a:ext uri="{FF2B5EF4-FFF2-40B4-BE49-F238E27FC236}">
              <a16:creationId xmlns:a16="http://schemas.microsoft.com/office/drawing/2014/main" id="{00000000-0008-0000-0200-00005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59" name="Text Box 188">
          <a:extLst>
            <a:ext uri="{FF2B5EF4-FFF2-40B4-BE49-F238E27FC236}">
              <a16:creationId xmlns:a16="http://schemas.microsoft.com/office/drawing/2014/main" id="{00000000-0008-0000-0200-00005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0" name="Text Box 189">
          <a:extLst>
            <a:ext uri="{FF2B5EF4-FFF2-40B4-BE49-F238E27FC236}">
              <a16:creationId xmlns:a16="http://schemas.microsoft.com/office/drawing/2014/main" id="{00000000-0008-0000-0200-00005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1" name="Text Box 190">
          <a:extLst>
            <a:ext uri="{FF2B5EF4-FFF2-40B4-BE49-F238E27FC236}">
              <a16:creationId xmlns:a16="http://schemas.microsoft.com/office/drawing/2014/main" id="{00000000-0008-0000-0200-00005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2" name="Text Box 191">
          <a:extLst>
            <a:ext uri="{FF2B5EF4-FFF2-40B4-BE49-F238E27FC236}">
              <a16:creationId xmlns:a16="http://schemas.microsoft.com/office/drawing/2014/main" id="{00000000-0008-0000-0200-00005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3" name="Text Box 192">
          <a:extLst>
            <a:ext uri="{FF2B5EF4-FFF2-40B4-BE49-F238E27FC236}">
              <a16:creationId xmlns:a16="http://schemas.microsoft.com/office/drawing/2014/main" id="{00000000-0008-0000-0200-00005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4" name="Text Box 193">
          <a:extLst>
            <a:ext uri="{FF2B5EF4-FFF2-40B4-BE49-F238E27FC236}">
              <a16:creationId xmlns:a16="http://schemas.microsoft.com/office/drawing/2014/main" id="{00000000-0008-0000-0200-00006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5" name="Text Box 194">
          <a:extLst>
            <a:ext uri="{FF2B5EF4-FFF2-40B4-BE49-F238E27FC236}">
              <a16:creationId xmlns:a16="http://schemas.microsoft.com/office/drawing/2014/main" id="{00000000-0008-0000-0200-00006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6" name="Text Box 195">
          <a:extLst>
            <a:ext uri="{FF2B5EF4-FFF2-40B4-BE49-F238E27FC236}">
              <a16:creationId xmlns:a16="http://schemas.microsoft.com/office/drawing/2014/main" id="{00000000-0008-0000-0200-00006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7" name="Text Box 196">
          <a:extLst>
            <a:ext uri="{FF2B5EF4-FFF2-40B4-BE49-F238E27FC236}">
              <a16:creationId xmlns:a16="http://schemas.microsoft.com/office/drawing/2014/main" id="{00000000-0008-0000-0200-00006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8" name="Text Box 197">
          <a:extLst>
            <a:ext uri="{FF2B5EF4-FFF2-40B4-BE49-F238E27FC236}">
              <a16:creationId xmlns:a16="http://schemas.microsoft.com/office/drawing/2014/main" id="{00000000-0008-0000-0200-00006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69" name="Text Box 198">
          <a:extLst>
            <a:ext uri="{FF2B5EF4-FFF2-40B4-BE49-F238E27FC236}">
              <a16:creationId xmlns:a16="http://schemas.microsoft.com/office/drawing/2014/main" id="{00000000-0008-0000-0200-00006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0" name="Text Box 199">
          <a:extLst>
            <a:ext uri="{FF2B5EF4-FFF2-40B4-BE49-F238E27FC236}">
              <a16:creationId xmlns:a16="http://schemas.microsoft.com/office/drawing/2014/main" id="{00000000-0008-0000-0200-00006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1" name="Text Box 200">
          <a:extLst>
            <a:ext uri="{FF2B5EF4-FFF2-40B4-BE49-F238E27FC236}">
              <a16:creationId xmlns:a16="http://schemas.microsoft.com/office/drawing/2014/main" id="{00000000-0008-0000-0200-00006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2" name="Text Box 201">
          <a:extLst>
            <a:ext uri="{FF2B5EF4-FFF2-40B4-BE49-F238E27FC236}">
              <a16:creationId xmlns:a16="http://schemas.microsoft.com/office/drawing/2014/main" id="{00000000-0008-0000-0200-00006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3" name="Text Box 202">
          <a:extLst>
            <a:ext uri="{FF2B5EF4-FFF2-40B4-BE49-F238E27FC236}">
              <a16:creationId xmlns:a16="http://schemas.microsoft.com/office/drawing/2014/main" id="{00000000-0008-0000-0200-00006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4" name="Text Box 203">
          <a:extLst>
            <a:ext uri="{FF2B5EF4-FFF2-40B4-BE49-F238E27FC236}">
              <a16:creationId xmlns:a16="http://schemas.microsoft.com/office/drawing/2014/main" id="{00000000-0008-0000-0200-00006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5" name="Text Box 204">
          <a:extLst>
            <a:ext uri="{FF2B5EF4-FFF2-40B4-BE49-F238E27FC236}">
              <a16:creationId xmlns:a16="http://schemas.microsoft.com/office/drawing/2014/main" id="{00000000-0008-0000-0200-00006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6" name="Text Box 205">
          <a:extLst>
            <a:ext uri="{FF2B5EF4-FFF2-40B4-BE49-F238E27FC236}">
              <a16:creationId xmlns:a16="http://schemas.microsoft.com/office/drawing/2014/main" id="{00000000-0008-0000-0200-00006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7" name="Text Box 206">
          <a:extLst>
            <a:ext uri="{FF2B5EF4-FFF2-40B4-BE49-F238E27FC236}">
              <a16:creationId xmlns:a16="http://schemas.microsoft.com/office/drawing/2014/main" id="{00000000-0008-0000-0200-00006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878" name="Text Box 207">
          <a:extLst>
            <a:ext uri="{FF2B5EF4-FFF2-40B4-BE49-F238E27FC236}">
              <a16:creationId xmlns:a16="http://schemas.microsoft.com/office/drawing/2014/main" id="{00000000-0008-0000-0200-00006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879" name="Text Box 208">
          <a:extLst>
            <a:ext uri="{FF2B5EF4-FFF2-40B4-BE49-F238E27FC236}">
              <a16:creationId xmlns:a16="http://schemas.microsoft.com/office/drawing/2014/main" id="{00000000-0008-0000-0200-00006F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80" name="Text Box 209">
          <a:extLst>
            <a:ext uri="{FF2B5EF4-FFF2-40B4-BE49-F238E27FC236}">
              <a16:creationId xmlns:a16="http://schemas.microsoft.com/office/drawing/2014/main" id="{00000000-0008-0000-0200-00007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1" name="Text Box 210">
          <a:extLst>
            <a:ext uri="{FF2B5EF4-FFF2-40B4-BE49-F238E27FC236}">
              <a16:creationId xmlns:a16="http://schemas.microsoft.com/office/drawing/2014/main" id="{00000000-0008-0000-0200-00007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2" name="Text Box 211">
          <a:extLst>
            <a:ext uri="{FF2B5EF4-FFF2-40B4-BE49-F238E27FC236}">
              <a16:creationId xmlns:a16="http://schemas.microsoft.com/office/drawing/2014/main" id="{00000000-0008-0000-0200-00007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83" name="Text Box 212">
          <a:extLst>
            <a:ext uri="{FF2B5EF4-FFF2-40B4-BE49-F238E27FC236}">
              <a16:creationId xmlns:a16="http://schemas.microsoft.com/office/drawing/2014/main" id="{00000000-0008-0000-0200-00007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4" name="Text Box 213">
          <a:extLst>
            <a:ext uri="{FF2B5EF4-FFF2-40B4-BE49-F238E27FC236}">
              <a16:creationId xmlns:a16="http://schemas.microsoft.com/office/drawing/2014/main" id="{00000000-0008-0000-0200-00007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5" name="Text Box 214">
          <a:extLst>
            <a:ext uri="{FF2B5EF4-FFF2-40B4-BE49-F238E27FC236}">
              <a16:creationId xmlns:a16="http://schemas.microsoft.com/office/drawing/2014/main" id="{00000000-0008-0000-0200-00007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86" name="Text Box 215">
          <a:extLst>
            <a:ext uri="{FF2B5EF4-FFF2-40B4-BE49-F238E27FC236}">
              <a16:creationId xmlns:a16="http://schemas.microsoft.com/office/drawing/2014/main" id="{00000000-0008-0000-0200-00007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7" name="Text Box 216">
          <a:extLst>
            <a:ext uri="{FF2B5EF4-FFF2-40B4-BE49-F238E27FC236}">
              <a16:creationId xmlns:a16="http://schemas.microsoft.com/office/drawing/2014/main" id="{00000000-0008-0000-0200-00007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88" name="Text Box 217">
          <a:extLst>
            <a:ext uri="{FF2B5EF4-FFF2-40B4-BE49-F238E27FC236}">
              <a16:creationId xmlns:a16="http://schemas.microsoft.com/office/drawing/2014/main" id="{00000000-0008-0000-0200-00007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889" name="Text Box 218">
          <a:extLst>
            <a:ext uri="{FF2B5EF4-FFF2-40B4-BE49-F238E27FC236}">
              <a16:creationId xmlns:a16="http://schemas.microsoft.com/office/drawing/2014/main" id="{00000000-0008-0000-0200-000079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0" name="Text Box 219">
          <a:extLst>
            <a:ext uri="{FF2B5EF4-FFF2-40B4-BE49-F238E27FC236}">
              <a16:creationId xmlns:a16="http://schemas.microsoft.com/office/drawing/2014/main" id="{00000000-0008-0000-0200-00007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1" name="Text Box 220">
          <a:extLst>
            <a:ext uri="{FF2B5EF4-FFF2-40B4-BE49-F238E27FC236}">
              <a16:creationId xmlns:a16="http://schemas.microsoft.com/office/drawing/2014/main" id="{00000000-0008-0000-0200-00007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92" name="Text Box 221">
          <a:extLst>
            <a:ext uri="{FF2B5EF4-FFF2-40B4-BE49-F238E27FC236}">
              <a16:creationId xmlns:a16="http://schemas.microsoft.com/office/drawing/2014/main" id="{00000000-0008-0000-0200-00007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3" name="Text Box 222">
          <a:extLst>
            <a:ext uri="{FF2B5EF4-FFF2-40B4-BE49-F238E27FC236}">
              <a16:creationId xmlns:a16="http://schemas.microsoft.com/office/drawing/2014/main" id="{00000000-0008-0000-0200-00007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4" name="Text Box 223">
          <a:extLst>
            <a:ext uri="{FF2B5EF4-FFF2-40B4-BE49-F238E27FC236}">
              <a16:creationId xmlns:a16="http://schemas.microsoft.com/office/drawing/2014/main" id="{00000000-0008-0000-0200-00007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95" name="Text Box 224">
          <a:extLst>
            <a:ext uri="{FF2B5EF4-FFF2-40B4-BE49-F238E27FC236}">
              <a16:creationId xmlns:a16="http://schemas.microsoft.com/office/drawing/2014/main" id="{00000000-0008-0000-0200-00007F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6" name="Text Box 225">
          <a:extLst>
            <a:ext uri="{FF2B5EF4-FFF2-40B4-BE49-F238E27FC236}">
              <a16:creationId xmlns:a16="http://schemas.microsoft.com/office/drawing/2014/main" id="{00000000-0008-0000-0200-00008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897" name="Text Box 226">
          <a:extLst>
            <a:ext uri="{FF2B5EF4-FFF2-40B4-BE49-F238E27FC236}">
              <a16:creationId xmlns:a16="http://schemas.microsoft.com/office/drawing/2014/main" id="{00000000-0008-0000-0200-00008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98" name="Text Box 227">
          <a:extLst>
            <a:ext uri="{FF2B5EF4-FFF2-40B4-BE49-F238E27FC236}">
              <a16:creationId xmlns:a16="http://schemas.microsoft.com/office/drawing/2014/main" id="{00000000-0008-0000-0200-00008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899" name="Text Box 228">
          <a:extLst>
            <a:ext uri="{FF2B5EF4-FFF2-40B4-BE49-F238E27FC236}">
              <a16:creationId xmlns:a16="http://schemas.microsoft.com/office/drawing/2014/main" id="{00000000-0008-0000-0200-000083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0" name="Text Box 229">
          <a:extLst>
            <a:ext uri="{FF2B5EF4-FFF2-40B4-BE49-F238E27FC236}">
              <a16:creationId xmlns:a16="http://schemas.microsoft.com/office/drawing/2014/main" id="{00000000-0008-0000-0200-00008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1" name="Text Box 230">
          <a:extLst>
            <a:ext uri="{FF2B5EF4-FFF2-40B4-BE49-F238E27FC236}">
              <a16:creationId xmlns:a16="http://schemas.microsoft.com/office/drawing/2014/main" id="{00000000-0008-0000-0200-00008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02" name="Text Box 231">
          <a:extLst>
            <a:ext uri="{FF2B5EF4-FFF2-40B4-BE49-F238E27FC236}">
              <a16:creationId xmlns:a16="http://schemas.microsoft.com/office/drawing/2014/main" id="{00000000-0008-0000-0200-000086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3" name="Text Box 232">
          <a:extLst>
            <a:ext uri="{FF2B5EF4-FFF2-40B4-BE49-F238E27FC236}">
              <a16:creationId xmlns:a16="http://schemas.microsoft.com/office/drawing/2014/main" id="{00000000-0008-0000-0200-00008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4" name="Text Box 233">
          <a:extLst>
            <a:ext uri="{FF2B5EF4-FFF2-40B4-BE49-F238E27FC236}">
              <a16:creationId xmlns:a16="http://schemas.microsoft.com/office/drawing/2014/main" id="{00000000-0008-0000-0200-00008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05" name="Text Box 234">
          <a:extLst>
            <a:ext uri="{FF2B5EF4-FFF2-40B4-BE49-F238E27FC236}">
              <a16:creationId xmlns:a16="http://schemas.microsoft.com/office/drawing/2014/main" id="{00000000-0008-0000-0200-000089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6" name="Text Box 235">
          <a:extLst>
            <a:ext uri="{FF2B5EF4-FFF2-40B4-BE49-F238E27FC236}">
              <a16:creationId xmlns:a16="http://schemas.microsoft.com/office/drawing/2014/main" id="{00000000-0008-0000-0200-00008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07" name="Text Box 236">
          <a:extLst>
            <a:ext uri="{FF2B5EF4-FFF2-40B4-BE49-F238E27FC236}">
              <a16:creationId xmlns:a16="http://schemas.microsoft.com/office/drawing/2014/main" id="{00000000-0008-0000-0200-00008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08" name="Text Box 237">
          <a:extLst>
            <a:ext uri="{FF2B5EF4-FFF2-40B4-BE49-F238E27FC236}">
              <a16:creationId xmlns:a16="http://schemas.microsoft.com/office/drawing/2014/main" id="{00000000-0008-0000-0200-00008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09" name="Text Box 238">
          <a:extLst>
            <a:ext uri="{FF2B5EF4-FFF2-40B4-BE49-F238E27FC236}">
              <a16:creationId xmlns:a16="http://schemas.microsoft.com/office/drawing/2014/main" id="{00000000-0008-0000-0200-00008D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0" name="Text Box 239">
          <a:extLst>
            <a:ext uri="{FF2B5EF4-FFF2-40B4-BE49-F238E27FC236}">
              <a16:creationId xmlns:a16="http://schemas.microsoft.com/office/drawing/2014/main" id="{00000000-0008-0000-0200-00008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1" name="Text Box 240">
          <a:extLst>
            <a:ext uri="{FF2B5EF4-FFF2-40B4-BE49-F238E27FC236}">
              <a16:creationId xmlns:a16="http://schemas.microsoft.com/office/drawing/2014/main" id="{00000000-0008-0000-0200-00008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12" name="Text Box 241">
          <a:extLst>
            <a:ext uri="{FF2B5EF4-FFF2-40B4-BE49-F238E27FC236}">
              <a16:creationId xmlns:a16="http://schemas.microsoft.com/office/drawing/2014/main" id="{00000000-0008-0000-0200-00009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3" name="Text Box 242">
          <a:extLst>
            <a:ext uri="{FF2B5EF4-FFF2-40B4-BE49-F238E27FC236}">
              <a16:creationId xmlns:a16="http://schemas.microsoft.com/office/drawing/2014/main" id="{00000000-0008-0000-0200-00009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4" name="Text Box 243">
          <a:extLst>
            <a:ext uri="{FF2B5EF4-FFF2-40B4-BE49-F238E27FC236}">
              <a16:creationId xmlns:a16="http://schemas.microsoft.com/office/drawing/2014/main" id="{00000000-0008-0000-0200-00009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15" name="Text Box 244">
          <a:extLst>
            <a:ext uri="{FF2B5EF4-FFF2-40B4-BE49-F238E27FC236}">
              <a16:creationId xmlns:a16="http://schemas.microsoft.com/office/drawing/2014/main" id="{00000000-0008-0000-0200-00009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6" name="Text Box 245">
          <a:extLst>
            <a:ext uri="{FF2B5EF4-FFF2-40B4-BE49-F238E27FC236}">
              <a16:creationId xmlns:a16="http://schemas.microsoft.com/office/drawing/2014/main" id="{00000000-0008-0000-0200-00009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17" name="Text Box 246">
          <a:extLst>
            <a:ext uri="{FF2B5EF4-FFF2-40B4-BE49-F238E27FC236}">
              <a16:creationId xmlns:a16="http://schemas.microsoft.com/office/drawing/2014/main" id="{00000000-0008-0000-0200-00009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18" name="Text Box 247">
          <a:extLst>
            <a:ext uri="{FF2B5EF4-FFF2-40B4-BE49-F238E27FC236}">
              <a16:creationId xmlns:a16="http://schemas.microsoft.com/office/drawing/2014/main" id="{00000000-0008-0000-0200-00009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19" name="Text Box 248">
          <a:extLst>
            <a:ext uri="{FF2B5EF4-FFF2-40B4-BE49-F238E27FC236}">
              <a16:creationId xmlns:a16="http://schemas.microsoft.com/office/drawing/2014/main" id="{00000000-0008-0000-0200-000097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0" name="Text Box 249">
          <a:extLst>
            <a:ext uri="{FF2B5EF4-FFF2-40B4-BE49-F238E27FC236}">
              <a16:creationId xmlns:a16="http://schemas.microsoft.com/office/drawing/2014/main" id="{00000000-0008-0000-0200-00009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1" name="Text Box 250">
          <a:extLst>
            <a:ext uri="{FF2B5EF4-FFF2-40B4-BE49-F238E27FC236}">
              <a16:creationId xmlns:a16="http://schemas.microsoft.com/office/drawing/2014/main" id="{00000000-0008-0000-0200-00009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22" name="Text Box 251">
          <a:extLst>
            <a:ext uri="{FF2B5EF4-FFF2-40B4-BE49-F238E27FC236}">
              <a16:creationId xmlns:a16="http://schemas.microsoft.com/office/drawing/2014/main" id="{00000000-0008-0000-0200-00009A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3" name="Text Box 252">
          <a:extLst>
            <a:ext uri="{FF2B5EF4-FFF2-40B4-BE49-F238E27FC236}">
              <a16:creationId xmlns:a16="http://schemas.microsoft.com/office/drawing/2014/main" id="{00000000-0008-0000-0200-00009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4" name="Text Box 253">
          <a:extLst>
            <a:ext uri="{FF2B5EF4-FFF2-40B4-BE49-F238E27FC236}">
              <a16:creationId xmlns:a16="http://schemas.microsoft.com/office/drawing/2014/main" id="{00000000-0008-0000-0200-00009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25" name="Text Box 254">
          <a:extLst>
            <a:ext uri="{FF2B5EF4-FFF2-40B4-BE49-F238E27FC236}">
              <a16:creationId xmlns:a16="http://schemas.microsoft.com/office/drawing/2014/main" id="{00000000-0008-0000-0200-00009D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6" name="Text Box 255">
          <a:extLst>
            <a:ext uri="{FF2B5EF4-FFF2-40B4-BE49-F238E27FC236}">
              <a16:creationId xmlns:a16="http://schemas.microsoft.com/office/drawing/2014/main" id="{00000000-0008-0000-0200-00009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27" name="Text Box 256">
          <a:extLst>
            <a:ext uri="{FF2B5EF4-FFF2-40B4-BE49-F238E27FC236}">
              <a16:creationId xmlns:a16="http://schemas.microsoft.com/office/drawing/2014/main" id="{00000000-0008-0000-0200-00009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928" name="Text Box 257">
          <a:extLst>
            <a:ext uri="{FF2B5EF4-FFF2-40B4-BE49-F238E27FC236}">
              <a16:creationId xmlns:a16="http://schemas.microsoft.com/office/drawing/2014/main" id="{00000000-0008-0000-0200-0000A0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29" name="Text Box 258">
          <a:extLst>
            <a:ext uri="{FF2B5EF4-FFF2-40B4-BE49-F238E27FC236}">
              <a16:creationId xmlns:a16="http://schemas.microsoft.com/office/drawing/2014/main" id="{00000000-0008-0000-0200-0000A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0" name="Text Box 259">
          <a:extLst>
            <a:ext uri="{FF2B5EF4-FFF2-40B4-BE49-F238E27FC236}">
              <a16:creationId xmlns:a16="http://schemas.microsoft.com/office/drawing/2014/main" id="{00000000-0008-0000-0200-0000A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1" name="Text Box 260">
          <a:extLst>
            <a:ext uri="{FF2B5EF4-FFF2-40B4-BE49-F238E27FC236}">
              <a16:creationId xmlns:a16="http://schemas.microsoft.com/office/drawing/2014/main" id="{00000000-0008-0000-0200-0000A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32" name="Text Box 261">
          <a:extLst>
            <a:ext uri="{FF2B5EF4-FFF2-40B4-BE49-F238E27FC236}">
              <a16:creationId xmlns:a16="http://schemas.microsoft.com/office/drawing/2014/main" id="{00000000-0008-0000-0200-0000A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3" name="Text Box 262">
          <a:extLst>
            <a:ext uri="{FF2B5EF4-FFF2-40B4-BE49-F238E27FC236}">
              <a16:creationId xmlns:a16="http://schemas.microsoft.com/office/drawing/2014/main" id="{00000000-0008-0000-0200-0000A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4" name="Text Box 263">
          <a:extLst>
            <a:ext uri="{FF2B5EF4-FFF2-40B4-BE49-F238E27FC236}">
              <a16:creationId xmlns:a16="http://schemas.microsoft.com/office/drawing/2014/main" id="{00000000-0008-0000-0200-0000A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35" name="Text Box 264">
          <a:extLst>
            <a:ext uri="{FF2B5EF4-FFF2-40B4-BE49-F238E27FC236}">
              <a16:creationId xmlns:a16="http://schemas.microsoft.com/office/drawing/2014/main" id="{00000000-0008-0000-0200-0000A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6" name="Text Box 265">
          <a:extLst>
            <a:ext uri="{FF2B5EF4-FFF2-40B4-BE49-F238E27FC236}">
              <a16:creationId xmlns:a16="http://schemas.microsoft.com/office/drawing/2014/main" id="{00000000-0008-0000-0200-0000A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37" name="Text Box 266">
          <a:extLst>
            <a:ext uri="{FF2B5EF4-FFF2-40B4-BE49-F238E27FC236}">
              <a16:creationId xmlns:a16="http://schemas.microsoft.com/office/drawing/2014/main" id="{00000000-0008-0000-0200-0000A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38" name="Text Box 267">
          <a:extLst>
            <a:ext uri="{FF2B5EF4-FFF2-40B4-BE49-F238E27FC236}">
              <a16:creationId xmlns:a16="http://schemas.microsoft.com/office/drawing/2014/main" id="{00000000-0008-0000-0200-0000AA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39" name="Text Box 268">
          <a:extLst>
            <a:ext uri="{FF2B5EF4-FFF2-40B4-BE49-F238E27FC236}">
              <a16:creationId xmlns:a16="http://schemas.microsoft.com/office/drawing/2014/main" id="{00000000-0008-0000-0200-0000A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0" name="Text Box 269">
          <a:extLst>
            <a:ext uri="{FF2B5EF4-FFF2-40B4-BE49-F238E27FC236}">
              <a16:creationId xmlns:a16="http://schemas.microsoft.com/office/drawing/2014/main" id="{00000000-0008-0000-0200-0000A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1" name="Text Box 270">
          <a:extLst>
            <a:ext uri="{FF2B5EF4-FFF2-40B4-BE49-F238E27FC236}">
              <a16:creationId xmlns:a16="http://schemas.microsoft.com/office/drawing/2014/main" id="{00000000-0008-0000-0200-0000A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42" name="Text Box 271">
          <a:extLst>
            <a:ext uri="{FF2B5EF4-FFF2-40B4-BE49-F238E27FC236}">
              <a16:creationId xmlns:a16="http://schemas.microsoft.com/office/drawing/2014/main" id="{00000000-0008-0000-0200-0000A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3" name="Text Box 272">
          <a:extLst>
            <a:ext uri="{FF2B5EF4-FFF2-40B4-BE49-F238E27FC236}">
              <a16:creationId xmlns:a16="http://schemas.microsoft.com/office/drawing/2014/main" id="{00000000-0008-0000-0200-0000A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4" name="Text Box 273">
          <a:extLst>
            <a:ext uri="{FF2B5EF4-FFF2-40B4-BE49-F238E27FC236}">
              <a16:creationId xmlns:a16="http://schemas.microsoft.com/office/drawing/2014/main" id="{00000000-0008-0000-0200-0000B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45" name="Text Box 274">
          <a:extLst>
            <a:ext uri="{FF2B5EF4-FFF2-40B4-BE49-F238E27FC236}">
              <a16:creationId xmlns:a16="http://schemas.microsoft.com/office/drawing/2014/main" id="{00000000-0008-0000-0200-0000B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6" name="Text Box 275">
          <a:extLst>
            <a:ext uri="{FF2B5EF4-FFF2-40B4-BE49-F238E27FC236}">
              <a16:creationId xmlns:a16="http://schemas.microsoft.com/office/drawing/2014/main" id="{00000000-0008-0000-0200-0000B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47" name="Text Box 276">
          <a:extLst>
            <a:ext uri="{FF2B5EF4-FFF2-40B4-BE49-F238E27FC236}">
              <a16:creationId xmlns:a16="http://schemas.microsoft.com/office/drawing/2014/main" id="{00000000-0008-0000-0200-0000B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948" name="Text Box 277">
          <a:extLst>
            <a:ext uri="{FF2B5EF4-FFF2-40B4-BE49-F238E27FC236}">
              <a16:creationId xmlns:a16="http://schemas.microsoft.com/office/drawing/2014/main" id="{00000000-0008-0000-0200-0000B4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49" name="Text Box 278">
          <a:extLst>
            <a:ext uri="{FF2B5EF4-FFF2-40B4-BE49-F238E27FC236}">
              <a16:creationId xmlns:a16="http://schemas.microsoft.com/office/drawing/2014/main" id="{00000000-0008-0000-0200-0000B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0" name="Text Box 279">
          <a:extLst>
            <a:ext uri="{FF2B5EF4-FFF2-40B4-BE49-F238E27FC236}">
              <a16:creationId xmlns:a16="http://schemas.microsoft.com/office/drawing/2014/main" id="{00000000-0008-0000-0200-0000B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1" name="Text Box 280">
          <a:extLst>
            <a:ext uri="{FF2B5EF4-FFF2-40B4-BE49-F238E27FC236}">
              <a16:creationId xmlns:a16="http://schemas.microsoft.com/office/drawing/2014/main" id="{00000000-0008-0000-0200-0000B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52" name="Text Box 281">
          <a:extLst>
            <a:ext uri="{FF2B5EF4-FFF2-40B4-BE49-F238E27FC236}">
              <a16:creationId xmlns:a16="http://schemas.microsoft.com/office/drawing/2014/main" id="{00000000-0008-0000-0200-0000B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3" name="Text Box 282">
          <a:extLst>
            <a:ext uri="{FF2B5EF4-FFF2-40B4-BE49-F238E27FC236}">
              <a16:creationId xmlns:a16="http://schemas.microsoft.com/office/drawing/2014/main" id="{00000000-0008-0000-0200-0000B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4" name="Text Box 283">
          <a:extLst>
            <a:ext uri="{FF2B5EF4-FFF2-40B4-BE49-F238E27FC236}">
              <a16:creationId xmlns:a16="http://schemas.microsoft.com/office/drawing/2014/main" id="{00000000-0008-0000-0200-0000B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55" name="Text Box 284">
          <a:extLst>
            <a:ext uri="{FF2B5EF4-FFF2-40B4-BE49-F238E27FC236}">
              <a16:creationId xmlns:a16="http://schemas.microsoft.com/office/drawing/2014/main" id="{00000000-0008-0000-0200-0000B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6" name="Text Box 285">
          <a:extLst>
            <a:ext uri="{FF2B5EF4-FFF2-40B4-BE49-F238E27FC236}">
              <a16:creationId xmlns:a16="http://schemas.microsoft.com/office/drawing/2014/main" id="{00000000-0008-0000-0200-0000B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7" name="Text Box 286">
          <a:extLst>
            <a:ext uri="{FF2B5EF4-FFF2-40B4-BE49-F238E27FC236}">
              <a16:creationId xmlns:a16="http://schemas.microsoft.com/office/drawing/2014/main" id="{00000000-0008-0000-0200-0000B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58" name="Text Box 287">
          <a:extLst>
            <a:ext uri="{FF2B5EF4-FFF2-40B4-BE49-F238E27FC236}">
              <a16:creationId xmlns:a16="http://schemas.microsoft.com/office/drawing/2014/main" id="{00000000-0008-0000-0200-0000B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59" name="Text Box 288">
          <a:extLst>
            <a:ext uri="{FF2B5EF4-FFF2-40B4-BE49-F238E27FC236}">
              <a16:creationId xmlns:a16="http://schemas.microsoft.com/office/drawing/2014/main" id="{00000000-0008-0000-0200-0000B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0" name="Text Box 289">
          <a:extLst>
            <a:ext uri="{FF2B5EF4-FFF2-40B4-BE49-F238E27FC236}">
              <a16:creationId xmlns:a16="http://schemas.microsoft.com/office/drawing/2014/main" id="{00000000-0008-0000-0200-0000C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61" name="Text Box 290">
          <a:extLst>
            <a:ext uri="{FF2B5EF4-FFF2-40B4-BE49-F238E27FC236}">
              <a16:creationId xmlns:a16="http://schemas.microsoft.com/office/drawing/2014/main" id="{00000000-0008-0000-0200-0000C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2" name="Text Box 291">
          <a:extLst>
            <a:ext uri="{FF2B5EF4-FFF2-40B4-BE49-F238E27FC236}">
              <a16:creationId xmlns:a16="http://schemas.microsoft.com/office/drawing/2014/main" id="{00000000-0008-0000-0200-0000C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3" name="Text Box 292">
          <a:extLst>
            <a:ext uri="{FF2B5EF4-FFF2-40B4-BE49-F238E27FC236}">
              <a16:creationId xmlns:a16="http://schemas.microsoft.com/office/drawing/2014/main" id="{00000000-0008-0000-0200-0000C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64" name="Text Box 293">
          <a:extLst>
            <a:ext uri="{FF2B5EF4-FFF2-40B4-BE49-F238E27FC236}">
              <a16:creationId xmlns:a16="http://schemas.microsoft.com/office/drawing/2014/main" id="{00000000-0008-0000-0200-0000C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5" name="Text Box 294">
          <a:extLst>
            <a:ext uri="{FF2B5EF4-FFF2-40B4-BE49-F238E27FC236}">
              <a16:creationId xmlns:a16="http://schemas.microsoft.com/office/drawing/2014/main" id="{00000000-0008-0000-0200-0000C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6" name="Text Box 295">
          <a:extLst>
            <a:ext uri="{FF2B5EF4-FFF2-40B4-BE49-F238E27FC236}">
              <a16:creationId xmlns:a16="http://schemas.microsoft.com/office/drawing/2014/main" id="{00000000-0008-0000-0200-0000C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67" name="Text Box 296">
          <a:extLst>
            <a:ext uri="{FF2B5EF4-FFF2-40B4-BE49-F238E27FC236}">
              <a16:creationId xmlns:a16="http://schemas.microsoft.com/office/drawing/2014/main" id="{00000000-0008-0000-0200-0000C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68" name="Text Box 297">
          <a:extLst>
            <a:ext uri="{FF2B5EF4-FFF2-40B4-BE49-F238E27FC236}">
              <a16:creationId xmlns:a16="http://schemas.microsoft.com/office/drawing/2014/main" id="{00000000-0008-0000-0200-0000C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69" name="Text Box 298">
          <a:extLst>
            <a:ext uri="{FF2B5EF4-FFF2-40B4-BE49-F238E27FC236}">
              <a16:creationId xmlns:a16="http://schemas.microsoft.com/office/drawing/2014/main" id="{00000000-0008-0000-0200-0000C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0" name="Text Box 299">
          <a:extLst>
            <a:ext uri="{FF2B5EF4-FFF2-40B4-BE49-F238E27FC236}">
              <a16:creationId xmlns:a16="http://schemas.microsoft.com/office/drawing/2014/main" id="{00000000-0008-0000-0200-0000C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71" name="Text Box 300">
          <a:extLst>
            <a:ext uri="{FF2B5EF4-FFF2-40B4-BE49-F238E27FC236}">
              <a16:creationId xmlns:a16="http://schemas.microsoft.com/office/drawing/2014/main" id="{00000000-0008-0000-0200-0000C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2" name="Text Box 301">
          <a:extLst>
            <a:ext uri="{FF2B5EF4-FFF2-40B4-BE49-F238E27FC236}">
              <a16:creationId xmlns:a16="http://schemas.microsoft.com/office/drawing/2014/main" id="{00000000-0008-0000-0200-0000C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3" name="Text Box 302">
          <a:extLst>
            <a:ext uri="{FF2B5EF4-FFF2-40B4-BE49-F238E27FC236}">
              <a16:creationId xmlns:a16="http://schemas.microsoft.com/office/drawing/2014/main" id="{00000000-0008-0000-0200-0000C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74" name="Text Box 303">
          <a:extLst>
            <a:ext uri="{FF2B5EF4-FFF2-40B4-BE49-F238E27FC236}">
              <a16:creationId xmlns:a16="http://schemas.microsoft.com/office/drawing/2014/main" id="{00000000-0008-0000-0200-0000C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5" name="Text Box 304">
          <a:extLst>
            <a:ext uri="{FF2B5EF4-FFF2-40B4-BE49-F238E27FC236}">
              <a16:creationId xmlns:a16="http://schemas.microsoft.com/office/drawing/2014/main" id="{00000000-0008-0000-0200-0000C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6" name="Text Box 305">
          <a:extLst>
            <a:ext uri="{FF2B5EF4-FFF2-40B4-BE49-F238E27FC236}">
              <a16:creationId xmlns:a16="http://schemas.microsoft.com/office/drawing/2014/main" id="{00000000-0008-0000-0200-0000D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977" name="Text Box 306">
          <a:extLst>
            <a:ext uri="{FF2B5EF4-FFF2-40B4-BE49-F238E27FC236}">
              <a16:creationId xmlns:a16="http://schemas.microsoft.com/office/drawing/2014/main" id="{00000000-0008-0000-0200-0000D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8" name="Text Box 307">
          <a:extLst>
            <a:ext uri="{FF2B5EF4-FFF2-40B4-BE49-F238E27FC236}">
              <a16:creationId xmlns:a16="http://schemas.microsoft.com/office/drawing/2014/main" id="{00000000-0008-0000-0200-0000D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979" name="Text Box 308">
          <a:extLst>
            <a:ext uri="{FF2B5EF4-FFF2-40B4-BE49-F238E27FC236}">
              <a16:creationId xmlns:a16="http://schemas.microsoft.com/office/drawing/2014/main" id="{00000000-0008-0000-0200-0000D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0" name="Text Box 309">
          <a:extLst>
            <a:ext uri="{FF2B5EF4-FFF2-40B4-BE49-F238E27FC236}">
              <a16:creationId xmlns:a16="http://schemas.microsoft.com/office/drawing/2014/main" id="{00000000-0008-0000-0200-0000D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1" name="Text Box 310">
          <a:extLst>
            <a:ext uri="{FF2B5EF4-FFF2-40B4-BE49-F238E27FC236}">
              <a16:creationId xmlns:a16="http://schemas.microsoft.com/office/drawing/2014/main" id="{00000000-0008-0000-0200-0000D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2" name="Text Box 311">
          <a:extLst>
            <a:ext uri="{FF2B5EF4-FFF2-40B4-BE49-F238E27FC236}">
              <a16:creationId xmlns:a16="http://schemas.microsoft.com/office/drawing/2014/main" id="{00000000-0008-0000-0200-0000D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3" name="Text Box 312">
          <a:extLst>
            <a:ext uri="{FF2B5EF4-FFF2-40B4-BE49-F238E27FC236}">
              <a16:creationId xmlns:a16="http://schemas.microsoft.com/office/drawing/2014/main" id="{00000000-0008-0000-0200-0000D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4" name="Text Box 313">
          <a:extLst>
            <a:ext uri="{FF2B5EF4-FFF2-40B4-BE49-F238E27FC236}">
              <a16:creationId xmlns:a16="http://schemas.microsoft.com/office/drawing/2014/main" id="{00000000-0008-0000-0200-0000D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5" name="Text Box 314">
          <a:extLst>
            <a:ext uri="{FF2B5EF4-FFF2-40B4-BE49-F238E27FC236}">
              <a16:creationId xmlns:a16="http://schemas.microsoft.com/office/drawing/2014/main" id="{00000000-0008-0000-0200-0000D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6" name="Text Box 315">
          <a:extLst>
            <a:ext uri="{FF2B5EF4-FFF2-40B4-BE49-F238E27FC236}">
              <a16:creationId xmlns:a16="http://schemas.microsoft.com/office/drawing/2014/main" id="{00000000-0008-0000-0200-0000D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7" name="Text Box 316">
          <a:extLst>
            <a:ext uri="{FF2B5EF4-FFF2-40B4-BE49-F238E27FC236}">
              <a16:creationId xmlns:a16="http://schemas.microsoft.com/office/drawing/2014/main" id="{00000000-0008-0000-0200-0000D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8" name="Text Box 317">
          <a:extLst>
            <a:ext uri="{FF2B5EF4-FFF2-40B4-BE49-F238E27FC236}">
              <a16:creationId xmlns:a16="http://schemas.microsoft.com/office/drawing/2014/main" id="{00000000-0008-0000-0200-0000D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89" name="Text Box 318">
          <a:extLst>
            <a:ext uri="{FF2B5EF4-FFF2-40B4-BE49-F238E27FC236}">
              <a16:creationId xmlns:a16="http://schemas.microsoft.com/office/drawing/2014/main" id="{00000000-0008-0000-0200-0000D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0" name="Text Box 319">
          <a:extLst>
            <a:ext uri="{FF2B5EF4-FFF2-40B4-BE49-F238E27FC236}">
              <a16:creationId xmlns:a16="http://schemas.microsoft.com/office/drawing/2014/main" id="{00000000-0008-0000-0200-0000D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1" name="Text Box 320">
          <a:extLst>
            <a:ext uri="{FF2B5EF4-FFF2-40B4-BE49-F238E27FC236}">
              <a16:creationId xmlns:a16="http://schemas.microsoft.com/office/drawing/2014/main" id="{00000000-0008-0000-0200-0000D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2" name="Text Box 321">
          <a:extLst>
            <a:ext uri="{FF2B5EF4-FFF2-40B4-BE49-F238E27FC236}">
              <a16:creationId xmlns:a16="http://schemas.microsoft.com/office/drawing/2014/main" id="{00000000-0008-0000-0200-0000E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3" name="Text Box 322">
          <a:extLst>
            <a:ext uri="{FF2B5EF4-FFF2-40B4-BE49-F238E27FC236}">
              <a16:creationId xmlns:a16="http://schemas.microsoft.com/office/drawing/2014/main" id="{00000000-0008-0000-0200-0000E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4" name="Text Box 323">
          <a:extLst>
            <a:ext uri="{FF2B5EF4-FFF2-40B4-BE49-F238E27FC236}">
              <a16:creationId xmlns:a16="http://schemas.microsoft.com/office/drawing/2014/main" id="{00000000-0008-0000-0200-0000E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5" name="Text Box 324">
          <a:extLst>
            <a:ext uri="{FF2B5EF4-FFF2-40B4-BE49-F238E27FC236}">
              <a16:creationId xmlns:a16="http://schemas.microsoft.com/office/drawing/2014/main" id="{00000000-0008-0000-0200-0000E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6" name="Text Box 325">
          <a:extLst>
            <a:ext uri="{FF2B5EF4-FFF2-40B4-BE49-F238E27FC236}">
              <a16:creationId xmlns:a16="http://schemas.microsoft.com/office/drawing/2014/main" id="{00000000-0008-0000-0200-0000E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7" name="Text Box 326">
          <a:extLst>
            <a:ext uri="{FF2B5EF4-FFF2-40B4-BE49-F238E27FC236}">
              <a16:creationId xmlns:a16="http://schemas.microsoft.com/office/drawing/2014/main" id="{00000000-0008-0000-0200-0000E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8" name="Text Box 327">
          <a:extLst>
            <a:ext uri="{FF2B5EF4-FFF2-40B4-BE49-F238E27FC236}">
              <a16:creationId xmlns:a16="http://schemas.microsoft.com/office/drawing/2014/main" id="{00000000-0008-0000-0200-0000E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999" name="Text Box 328">
          <a:extLst>
            <a:ext uri="{FF2B5EF4-FFF2-40B4-BE49-F238E27FC236}">
              <a16:creationId xmlns:a16="http://schemas.microsoft.com/office/drawing/2014/main" id="{00000000-0008-0000-0200-0000E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0" name="Text Box 329">
          <a:extLst>
            <a:ext uri="{FF2B5EF4-FFF2-40B4-BE49-F238E27FC236}">
              <a16:creationId xmlns:a16="http://schemas.microsoft.com/office/drawing/2014/main" id="{00000000-0008-0000-0200-0000E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1" name="Text Box 330">
          <a:extLst>
            <a:ext uri="{FF2B5EF4-FFF2-40B4-BE49-F238E27FC236}">
              <a16:creationId xmlns:a16="http://schemas.microsoft.com/office/drawing/2014/main" id="{00000000-0008-0000-0200-0000E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2" name="Text Box 331">
          <a:extLst>
            <a:ext uri="{FF2B5EF4-FFF2-40B4-BE49-F238E27FC236}">
              <a16:creationId xmlns:a16="http://schemas.microsoft.com/office/drawing/2014/main" id="{00000000-0008-0000-0200-0000E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3" name="Text Box 332">
          <a:extLst>
            <a:ext uri="{FF2B5EF4-FFF2-40B4-BE49-F238E27FC236}">
              <a16:creationId xmlns:a16="http://schemas.microsoft.com/office/drawing/2014/main" id="{00000000-0008-0000-0200-0000E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4" name="Text Box 333">
          <a:extLst>
            <a:ext uri="{FF2B5EF4-FFF2-40B4-BE49-F238E27FC236}">
              <a16:creationId xmlns:a16="http://schemas.microsoft.com/office/drawing/2014/main" id="{00000000-0008-0000-0200-0000E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5" name="Text Box 334">
          <a:extLst>
            <a:ext uri="{FF2B5EF4-FFF2-40B4-BE49-F238E27FC236}">
              <a16:creationId xmlns:a16="http://schemas.microsoft.com/office/drawing/2014/main" id="{00000000-0008-0000-0200-0000E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06" name="Text Box 335">
          <a:extLst>
            <a:ext uri="{FF2B5EF4-FFF2-40B4-BE49-F238E27FC236}">
              <a16:creationId xmlns:a16="http://schemas.microsoft.com/office/drawing/2014/main" id="{00000000-0008-0000-0200-0000E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007" name="Text Box 336">
          <a:extLst>
            <a:ext uri="{FF2B5EF4-FFF2-40B4-BE49-F238E27FC236}">
              <a16:creationId xmlns:a16="http://schemas.microsoft.com/office/drawing/2014/main" id="{00000000-0008-0000-0200-0000EF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008" name="Text Box 337">
          <a:extLst>
            <a:ext uri="{FF2B5EF4-FFF2-40B4-BE49-F238E27FC236}">
              <a16:creationId xmlns:a16="http://schemas.microsoft.com/office/drawing/2014/main" id="{00000000-0008-0000-0200-0000F0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09" name="Text Box 338">
          <a:extLst>
            <a:ext uri="{FF2B5EF4-FFF2-40B4-BE49-F238E27FC236}">
              <a16:creationId xmlns:a16="http://schemas.microsoft.com/office/drawing/2014/main" id="{00000000-0008-0000-0200-0000F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10" name="Text Box 339">
          <a:extLst>
            <a:ext uri="{FF2B5EF4-FFF2-40B4-BE49-F238E27FC236}">
              <a16:creationId xmlns:a16="http://schemas.microsoft.com/office/drawing/2014/main" id="{00000000-0008-0000-0200-0000F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011" name="Text Box 340">
          <a:extLst>
            <a:ext uri="{FF2B5EF4-FFF2-40B4-BE49-F238E27FC236}">
              <a16:creationId xmlns:a16="http://schemas.microsoft.com/office/drawing/2014/main" id="{00000000-0008-0000-0200-0000F3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12" name="Text Box 341">
          <a:extLst>
            <a:ext uri="{FF2B5EF4-FFF2-40B4-BE49-F238E27FC236}">
              <a16:creationId xmlns:a16="http://schemas.microsoft.com/office/drawing/2014/main" id="{00000000-0008-0000-0200-0000F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13" name="Text Box 342">
          <a:extLst>
            <a:ext uri="{FF2B5EF4-FFF2-40B4-BE49-F238E27FC236}">
              <a16:creationId xmlns:a16="http://schemas.microsoft.com/office/drawing/2014/main" id="{00000000-0008-0000-0200-0000F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014" name="Text Box 343">
          <a:extLst>
            <a:ext uri="{FF2B5EF4-FFF2-40B4-BE49-F238E27FC236}">
              <a16:creationId xmlns:a16="http://schemas.microsoft.com/office/drawing/2014/main" id="{00000000-0008-0000-0200-0000F6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15" name="Text Box 344">
          <a:extLst>
            <a:ext uri="{FF2B5EF4-FFF2-40B4-BE49-F238E27FC236}">
              <a16:creationId xmlns:a16="http://schemas.microsoft.com/office/drawing/2014/main" id="{00000000-0008-0000-0200-0000F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16" name="Text Box 345">
          <a:extLst>
            <a:ext uri="{FF2B5EF4-FFF2-40B4-BE49-F238E27FC236}">
              <a16:creationId xmlns:a16="http://schemas.microsoft.com/office/drawing/2014/main" id="{00000000-0008-0000-0200-0000F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17" name="Text Box 346">
          <a:extLst>
            <a:ext uri="{FF2B5EF4-FFF2-40B4-BE49-F238E27FC236}">
              <a16:creationId xmlns:a16="http://schemas.microsoft.com/office/drawing/2014/main" id="{00000000-0008-0000-0200-0000F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18" name="Text Box 347">
          <a:extLst>
            <a:ext uri="{FF2B5EF4-FFF2-40B4-BE49-F238E27FC236}">
              <a16:creationId xmlns:a16="http://schemas.microsoft.com/office/drawing/2014/main" id="{00000000-0008-0000-0200-0000F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19" name="Text Box 348">
          <a:extLst>
            <a:ext uri="{FF2B5EF4-FFF2-40B4-BE49-F238E27FC236}">
              <a16:creationId xmlns:a16="http://schemas.microsoft.com/office/drawing/2014/main" id="{00000000-0008-0000-0200-0000F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0" name="Text Box 349">
          <a:extLst>
            <a:ext uri="{FF2B5EF4-FFF2-40B4-BE49-F238E27FC236}">
              <a16:creationId xmlns:a16="http://schemas.microsoft.com/office/drawing/2014/main" id="{00000000-0008-0000-0200-0000F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1" name="Text Box 350">
          <a:extLst>
            <a:ext uri="{FF2B5EF4-FFF2-40B4-BE49-F238E27FC236}">
              <a16:creationId xmlns:a16="http://schemas.microsoft.com/office/drawing/2014/main" id="{00000000-0008-0000-0200-0000F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2" name="Text Box 351">
          <a:extLst>
            <a:ext uri="{FF2B5EF4-FFF2-40B4-BE49-F238E27FC236}">
              <a16:creationId xmlns:a16="http://schemas.microsoft.com/office/drawing/2014/main" id="{00000000-0008-0000-0200-0000F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3" name="Text Box 352">
          <a:extLst>
            <a:ext uri="{FF2B5EF4-FFF2-40B4-BE49-F238E27FC236}">
              <a16:creationId xmlns:a16="http://schemas.microsoft.com/office/drawing/2014/main" id="{00000000-0008-0000-0200-0000F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4" name="Text Box 353">
          <a:extLst>
            <a:ext uri="{FF2B5EF4-FFF2-40B4-BE49-F238E27FC236}">
              <a16:creationId xmlns:a16="http://schemas.microsoft.com/office/drawing/2014/main" id="{00000000-0008-0000-0200-00000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5" name="Text Box 354">
          <a:extLst>
            <a:ext uri="{FF2B5EF4-FFF2-40B4-BE49-F238E27FC236}">
              <a16:creationId xmlns:a16="http://schemas.microsoft.com/office/drawing/2014/main" id="{00000000-0008-0000-0200-00000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6" name="Text Box 355">
          <a:extLst>
            <a:ext uri="{FF2B5EF4-FFF2-40B4-BE49-F238E27FC236}">
              <a16:creationId xmlns:a16="http://schemas.microsoft.com/office/drawing/2014/main" id="{00000000-0008-0000-0200-00000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7" name="Text Box 356">
          <a:extLst>
            <a:ext uri="{FF2B5EF4-FFF2-40B4-BE49-F238E27FC236}">
              <a16:creationId xmlns:a16="http://schemas.microsoft.com/office/drawing/2014/main" id="{00000000-0008-0000-0200-00000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8" name="Text Box 357">
          <a:extLst>
            <a:ext uri="{FF2B5EF4-FFF2-40B4-BE49-F238E27FC236}">
              <a16:creationId xmlns:a16="http://schemas.microsoft.com/office/drawing/2014/main" id="{00000000-0008-0000-0200-00000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29" name="Text Box 358">
          <a:extLst>
            <a:ext uri="{FF2B5EF4-FFF2-40B4-BE49-F238E27FC236}">
              <a16:creationId xmlns:a16="http://schemas.microsoft.com/office/drawing/2014/main" id="{00000000-0008-0000-0200-00000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0" name="Text Box 359">
          <a:extLst>
            <a:ext uri="{FF2B5EF4-FFF2-40B4-BE49-F238E27FC236}">
              <a16:creationId xmlns:a16="http://schemas.microsoft.com/office/drawing/2014/main" id="{00000000-0008-0000-0200-00000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1" name="Text Box 360">
          <a:extLst>
            <a:ext uri="{FF2B5EF4-FFF2-40B4-BE49-F238E27FC236}">
              <a16:creationId xmlns:a16="http://schemas.microsoft.com/office/drawing/2014/main" id="{00000000-0008-0000-0200-00000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2" name="Text Box 361">
          <a:extLst>
            <a:ext uri="{FF2B5EF4-FFF2-40B4-BE49-F238E27FC236}">
              <a16:creationId xmlns:a16="http://schemas.microsoft.com/office/drawing/2014/main" id="{00000000-0008-0000-0200-00000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3" name="Text Box 362">
          <a:extLst>
            <a:ext uri="{FF2B5EF4-FFF2-40B4-BE49-F238E27FC236}">
              <a16:creationId xmlns:a16="http://schemas.microsoft.com/office/drawing/2014/main" id="{00000000-0008-0000-0200-00000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4" name="Text Box 363">
          <a:extLst>
            <a:ext uri="{FF2B5EF4-FFF2-40B4-BE49-F238E27FC236}">
              <a16:creationId xmlns:a16="http://schemas.microsoft.com/office/drawing/2014/main" id="{00000000-0008-0000-0200-00000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5" name="Text Box 364">
          <a:extLst>
            <a:ext uri="{FF2B5EF4-FFF2-40B4-BE49-F238E27FC236}">
              <a16:creationId xmlns:a16="http://schemas.microsoft.com/office/drawing/2014/main" id="{00000000-0008-0000-0200-00000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6" name="Text Box 365">
          <a:extLst>
            <a:ext uri="{FF2B5EF4-FFF2-40B4-BE49-F238E27FC236}">
              <a16:creationId xmlns:a16="http://schemas.microsoft.com/office/drawing/2014/main" id="{00000000-0008-0000-0200-00000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7" name="Text Box 366">
          <a:extLst>
            <a:ext uri="{FF2B5EF4-FFF2-40B4-BE49-F238E27FC236}">
              <a16:creationId xmlns:a16="http://schemas.microsoft.com/office/drawing/2014/main" id="{00000000-0008-0000-0200-00000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8" name="Text Box 367">
          <a:extLst>
            <a:ext uri="{FF2B5EF4-FFF2-40B4-BE49-F238E27FC236}">
              <a16:creationId xmlns:a16="http://schemas.microsoft.com/office/drawing/2014/main" id="{00000000-0008-0000-0200-00000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39" name="Text Box 368">
          <a:extLst>
            <a:ext uri="{FF2B5EF4-FFF2-40B4-BE49-F238E27FC236}">
              <a16:creationId xmlns:a16="http://schemas.microsoft.com/office/drawing/2014/main" id="{00000000-0008-0000-0200-00000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40" name="Text Box 369">
          <a:extLst>
            <a:ext uri="{FF2B5EF4-FFF2-40B4-BE49-F238E27FC236}">
              <a16:creationId xmlns:a16="http://schemas.microsoft.com/office/drawing/2014/main" id="{00000000-0008-0000-0200-00001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41" name="Text Box 370">
          <a:extLst>
            <a:ext uri="{FF2B5EF4-FFF2-40B4-BE49-F238E27FC236}">
              <a16:creationId xmlns:a16="http://schemas.microsoft.com/office/drawing/2014/main" id="{00000000-0008-0000-0200-00001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42" name="Text Box 371">
          <a:extLst>
            <a:ext uri="{FF2B5EF4-FFF2-40B4-BE49-F238E27FC236}">
              <a16:creationId xmlns:a16="http://schemas.microsoft.com/office/drawing/2014/main" id="{00000000-0008-0000-0200-00001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43" name="Text Box 372">
          <a:extLst>
            <a:ext uri="{FF2B5EF4-FFF2-40B4-BE49-F238E27FC236}">
              <a16:creationId xmlns:a16="http://schemas.microsoft.com/office/drawing/2014/main" id="{00000000-0008-0000-0200-00001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044" name="Text Box 373">
          <a:extLst>
            <a:ext uri="{FF2B5EF4-FFF2-40B4-BE49-F238E27FC236}">
              <a16:creationId xmlns:a16="http://schemas.microsoft.com/office/drawing/2014/main" id="{00000000-0008-0000-0200-00001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045" name="Text Box 374">
          <a:extLst>
            <a:ext uri="{FF2B5EF4-FFF2-40B4-BE49-F238E27FC236}">
              <a16:creationId xmlns:a16="http://schemas.microsoft.com/office/drawing/2014/main" id="{00000000-0008-0000-0200-000015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46" name="Text Box 375">
          <a:extLst>
            <a:ext uri="{FF2B5EF4-FFF2-40B4-BE49-F238E27FC236}">
              <a16:creationId xmlns:a16="http://schemas.microsoft.com/office/drawing/2014/main" id="{00000000-0008-0000-0200-00001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47" name="Text Box 376">
          <a:extLst>
            <a:ext uri="{FF2B5EF4-FFF2-40B4-BE49-F238E27FC236}">
              <a16:creationId xmlns:a16="http://schemas.microsoft.com/office/drawing/2014/main" id="{00000000-0008-0000-0200-00001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048" name="Text Box 377">
          <a:extLst>
            <a:ext uri="{FF2B5EF4-FFF2-40B4-BE49-F238E27FC236}">
              <a16:creationId xmlns:a16="http://schemas.microsoft.com/office/drawing/2014/main" id="{00000000-0008-0000-0200-000018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49" name="Text Box 378">
          <a:extLst>
            <a:ext uri="{FF2B5EF4-FFF2-40B4-BE49-F238E27FC236}">
              <a16:creationId xmlns:a16="http://schemas.microsoft.com/office/drawing/2014/main" id="{00000000-0008-0000-0200-00001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50" name="Text Box 379">
          <a:extLst>
            <a:ext uri="{FF2B5EF4-FFF2-40B4-BE49-F238E27FC236}">
              <a16:creationId xmlns:a16="http://schemas.microsoft.com/office/drawing/2014/main" id="{00000000-0008-0000-0200-00001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051" name="Text Box 380">
          <a:extLst>
            <a:ext uri="{FF2B5EF4-FFF2-40B4-BE49-F238E27FC236}">
              <a16:creationId xmlns:a16="http://schemas.microsoft.com/office/drawing/2014/main" id="{00000000-0008-0000-0200-00001B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52" name="Text Box 381">
          <a:extLst>
            <a:ext uri="{FF2B5EF4-FFF2-40B4-BE49-F238E27FC236}">
              <a16:creationId xmlns:a16="http://schemas.microsoft.com/office/drawing/2014/main" id="{00000000-0008-0000-0200-00001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53" name="Text Box 382">
          <a:extLst>
            <a:ext uri="{FF2B5EF4-FFF2-40B4-BE49-F238E27FC236}">
              <a16:creationId xmlns:a16="http://schemas.microsoft.com/office/drawing/2014/main" id="{00000000-0008-0000-0200-00001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4" name="Text Box 383">
          <a:extLst>
            <a:ext uri="{FF2B5EF4-FFF2-40B4-BE49-F238E27FC236}">
              <a16:creationId xmlns:a16="http://schemas.microsoft.com/office/drawing/2014/main" id="{00000000-0008-0000-0200-00001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5" name="Text Box 384">
          <a:extLst>
            <a:ext uri="{FF2B5EF4-FFF2-40B4-BE49-F238E27FC236}">
              <a16:creationId xmlns:a16="http://schemas.microsoft.com/office/drawing/2014/main" id="{00000000-0008-0000-0200-00001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6" name="Text Box 385">
          <a:extLst>
            <a:ext uri="{FF2B5EF4-FFF2-40B4-BE49-F238E27FC236}">
              <a16:creationId xmlns:a16="http://schemas.microsoft.com/office/drawing/2014/main" id="{00000000-0008-0000-0200-00002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7" name="Text Box 386">
          <a:extLst>
            <a:ext uri="{FF2B5EF4-FFF2-40B4-BE49-F238E27FC236}">
              <a16:creationId xmlns:a16="http://schemas.microsoft.com/office/drawing/2014/main" id="{00000000-0008-0000-0200-00002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8" name="Text Box 387">
          <a:extLst>
            <a:ext uri="{FF2B5EF4-FFF2-40B4-BE49-F238E27FC236}">
              <a16:creationId xmlns:a16="http://schemas.microsoft.com/office/drawing/2014/main" id="{00000000-0008-0000-0200-00002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59" name="Text Box 388">
          <a:extLst>
            <a:ext uri="{FF2B5EF4-FFF2-40B4-BE49-F238E27FC236}">
              <a16:creationId xmlns:a16="http://schemas.microsoft.com/office/drawing/2014/main" id="{00000000-0008-0000-0200-00002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0" name="Text Box 389">
          <a:extLst>
            <a:ext uri="{FF2B5EF4-FFF2-40B4-BE49-F238E27FC236}">
              <a16:creationId xmlns:a16="http://schemas.microsoft.com/office/drawing/2014/main" id="{00000000-0008-0000-0200-00002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1" name="Text Box 390">
          <a:extLst>
            <a:ext uri="{FF2B5EF4-FFF2-40B4-BE49-F238E27FC236}">
              <a16:creationId xmlns:a16="http://schemas.microsoft.com/office/drawing/2014/main" id="{00000000-0008-0000-0200-00002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2" name="Text Box 391">
          <a:extLst>
            <a:ext uri="{FF2B5EF4-FFF2-40B4-BE49-F238E27FC236}">
              <a16:creationId xmlns:a16="http://schemas.microsoft.com/office/drawing/2014/main" id="{00000000-0008-0000-0200-00002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3" name="Text Box 392">
          <a:extLst>
            <a:ext uri="{FF2B5EF4-FFF2-40B4-BE49-F238E27FC236}">
              <a16:creationId xmlns:a16="http://schemas.microsoft.com/office/drawing/2014/main" id="{00000000-0008-0000-0200-00002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4" name="Text Box 393">
          <a:extLst>
            <a:ext uri="{FF2B5EF4-FFF2-40B4-BE49-F238E27FC236}">
              <a16:creationId xmlns:a16="http://schemas.microsoft.com/office/drawing/2014/main" id="{00000000-0008-0000-0200-00002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5" name="Text Box 394">
          <a:extLst>
            <a:ext uri="{FF2B5EF4-FFF2-40B4-BE49-F238E27FC236}">
              <a16:creationId xmlns:a16="http://schemas.microsoft.com/office/drawing/2014/main" id="{00000000-0008-0000-0200-00002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6" name="Text Box 395">
          <a:extLst>
            <a:ext uri="{FF2B5EF4-FFF2-40B4-BE49-F238E27FC236}">
              <a16:creationId xmlns:a16="http://schemas.microsoft.com/office/drawing/2014/main" id="{00000000-0008-0000-0200-00002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7" name="Text Box 396">
          <a:extLst>
            <a:ext uri="{FF2B5EF4-FFF2-40B4-BE49-F238E27FC236}">
              <a16:creationId xmlns:a16="http://schemas.microsoft.com/office/drawing/2014/main" id="{00000000-0008-0000-0200-00002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8" name="Text Box 397">
          <a:extLst>
            <a:ext uri="{FF2B5EF4-FFF2-40B4-BE49-F238E27FC236}">
              <a16:creationId xmlns:a16="http://schemas.microsoft.com/office/drawing/2014/main" id="{00000000-0008-0000-0200-00002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69" name="Text Box 398">
          <a:extLst>
            <a:ext uri="{FF2B5EF4-FFF2-40B4-BE49-F238E27FC236}">
              <a16:creationId xmlns:a16="http://schemas.microsoft.com/office/drawing/2014/main" id="{00000000-0008-0000-0200-00002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0" name="Text Box 399">
          <a:extLst>
            <a:ext uri="{FF2B5EF4-FFF2-40B4-BE49-F238E27FC236}">
              <a16:creationId xmlns:a16="http://schemas.microsoft.com/office/drawing/2014/main" id="{00000000-0008-0000-0200-00002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1" name="Text Box 400">
          <a:extLst>
            <a:ext uri="{FF2B5EF4-FFF2-40B4-BE49-F238E27FC236}">
              <a16:creationId xmlns:a16="http://schemas.microsoft.com/office/drawing/2014/main" id="{00000000-0008-0000-0200-00002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2" name="Text Box 401">
          <a:extLst>
            <a:ext uri="{FF2B5EF4-FFF2-40B4-BE49-F238E27FC236}">
              <a16:creationId xmlns:a16="http://schemas.microsoft.com/office/drawing/2014/main" id="{00000000-0008-0000-0200-00003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3" name="Text Box 402">
          <a:extLst>
            <a:ext uri="{FF2B5EF4-FFF2-40B4-BE49-F238E27FC236}">
              <a16:creationId xmlns:a16="http://schemas.microsoft.com/office/drawing/2014/main" id="{00000000-0008-0000-0200-00003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4" name="Text Box 403">
          <a:extLst>
            <a:ext uri="{FF2B5EF4-FFF2-40B4-BE49-F238E27FC236}">
              <a16:creationId xmlns:a16="http://schemas.microsoft.com/office/drawing/2014/main" id="{00000000-0008-0000-0200-00003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5" name="Text Box 404">
          <a:extLst>
            <a:ext uri="{FF2B5EF4-FFF2-40B4-BE49-F238E27FC236}">
              <a16:creationId xmlns:a16="http://schemas.microsoft.com/office/drawing/2014/main" id="{00000000-0008-0000-0200-00003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6" name="Text Box 405">
          <a:extLst>
            <a:ext uri="{FF2B5EF4-FFF2-40B4-BE49-F238E27FC236}">
              <a16:creationId xmlns:a16="http://schemas.microsoft.com/office/drawing/2014/main" id="{00000000-0008-0000-0200-00003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7" name="Text Box 406">
          <a:extLst>
            <a:ext uri="{FF2B5EF4-FFF2-40B4-BE49-F238E27FC236}">
              <a16:creationId xmlns:a16="http://schemas.microsoft.com/office/drawing/2014/main" id="{00000000-0008-0000-0200-00003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8" name="Text Box 407">
          <a:extLst>
            <a:ext uri="{FF2B5EF4-FFF2-40B4-BE49-F238E27FC236}">
              <a16:creationId xmlns:a16="http://schemas.microsoft.com/office/drawing/2014/main" id="{00000000-0008-0000-0200-00003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79" name="Text Box 408">
          <a:extLst>
            <a:ext uri="{FF2B5EF4-FFF2-40B4-BE49-F238E27FC236}">
              <a16:creationId xmlns:a16="http://schemas.microsoft.com/office/drawing/2014/main" id="{00000000-0008-0000-0200-00003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80" name="Text Box 409">
          <a:extLst>
            <a:ext uri="{FF2B5EF4-FFF2-40B4-BE49-F238E27FC236}">
              <a16:creationId xmlns:a16="http://schemas.microsoft.com/office/drawing/2014/main" id="{00000000-0008-0000-0200-00003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081" name="Text Box 410">
          <a:extLst>
            <a:ext uri="{FF2B5EF4-FFF2-40B4-BE49-F238E27FC236}">
              <a16:creationId xmlns:a16="http://schemas.microsoft.com/office/drawing/2014/main" id="{00000000-0008-0000-0200-000039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082" name="Text Box 411">
          <a:extLst>
            <a:ext uri="{FF2B5EF4-FFF2-40B4-BE49-F238E27FC236}">
              <a16:creationId xmlns:a16="http://schemas.microsoft.com/office/drawing/2014/main" id="{00000000-0008-0000-0200-00003A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83" name="Text Box 412">
          <a:extLst>
            <a:ext uri="{FF2B5EF4-FFF2-40B4-BE49-F238E27FC236}">
              <a16:creationId xmlns:a16="http://schemas.microsoft.com/office/drawing/2014/main" id="{00000000-0008-0000-0200-00003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84" name="Text Box 413">
          <a:extLst>
            <a:ext uri="{FF2B5EF4-FFF2-40B4-BE49-F238E27FC236}">
              <a16:creationId xmlns:a16="http://schemas.microsoft.com/office/drawing/2014/main" id="{00000000-0008-0000-0200-00003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085" name="Text Box 414">
          <a:extLst>
            <a:ext uri="{FF2B5EF4-FFF2-40B4-BE49-F238E27FC236}">
              <a16:creationId xmlns:a16="http://schemas.microsoft.com/office/drawing/2014/main" id="{00000000-0008-0000-0200-00003D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86" name="Text Box 415">
          <a:extLst>
            <a:ext uri="{FF2B5EF4-FFF2-40B4-BE49-F238E27FC236}">
              <a16:creationId xmlns:a16="http://schemas.microsoft.com/office/drawing/2014/main" id="{00000000-0008-0000-0200-00003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87" name="Text Box 416">
          <a:extLst>
            <a:ext uri="{FF2B5EF4-FFF2-40B4-BE49-F238E27FC236}">
              <a16:creationId xmlns:a16="http://schemas.microsoft.com/office/drawing/2014/main" id="{00000000-0008-0000-0200-00003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088" name="Text Box 417">
          <a:extLst>
            <a:ext uri="{FF2B5EF4-FFF2-40B4-BE49-F238E27FC236}">
              <a16:creationId xmlns:a16="http://schemas.microsoft.com/office/drawing/2014/main" id="{00000000-0008-0000-0200-000040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89" name="Text Box 418">
          <a:extLst>
            <a:ext uri="{FF2B5EF4-FFF2-40B4-BE49-F238E27FC236}">
              <a16:creationId xmlns:a16="http://schemas.microsoft.com/office/drawing/2014/main" id="{00000000-0008-0000-0200-00004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090" name="Text Box 419">
          <a:extLst>
            <a:ext uri="{FF2B5EF4-FFF2-40B4-BE49-F238E27FC236}">
              <a16:creationId xmlns:a16="http://schemas.microsoft.com/office/drawing/2014/main" id="{00000000-0008-0000-0200-00004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1" name="Text Box 420">
          <a:extLst>
            <a:ext uri="{FF2B5EF4-FFF2-40B4-BE49-F238E27FC236}">
              <a16:creationId xmlns:a16="http://schemas.microsoft.com/office/drawing/2014/main" id="{00000000-0008-0000-0200-00004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2" name="Text Box 421">
          <a:extLst>
            <a:ext uri="{FF2B5EF4-FFF2-40B4-BE49-F238E27FC236}">
              <a16:creationId xmlns:a16="http://schemas.microsoft.com/office/drawing/2014/main" id="{00000000-0008-0000-0200-00004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3" name="Text Box 422">
          <a:extLst>
            <a:ext uri="{FF2B5EF4-FFF2-40B4-BE49-F238E27FC236}">
              <a16:creationId xmlns:a16="http://schemas.microsoft.com/office/drawing/2014/main" id="{00000000-0008-0000-0200-00004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4" name="Text Box 423">
          <a:extLst>
            <a:ext uri="{FF2B5EF4-FFF2-40B4-BE49-F238E27FC236}">
              <a16:creationId xmlns:a16="http://schemas.microsoft.com/office/drawing/2014/main" id="{00000000-0008-0000-0200-00004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5" name="Text Box 424">
          <a:extLst>
            <a:ext uri="{FF2B5EF4-FFF2-40B4-BE49-F238E27FC236}">
              <a16:creationId xmlns:a16="http://schemas.microsoft.com/office/drawing/2014/main" id="{00000000-0008-0000-0200-00004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6" name="Text Box 425">
          <a:extLst>
            <a:ext uri="{FF2B5EF4-FFF2-40B4-BE49-F238E27FC236}">
              <a16:creationId xmlns:a16="http://schemas.microsoft.com/office/drawing/2014/main" id="{00000000-0008-0000-0200-00004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7" name="Text Box 426">
          <a:extLst>
            <a:ext uri="{FF2B5EF4-FFF2-40B4-BE49-F238E27FC236}">
              <a16:creationId xmlns:a16="http://schemas.microsoft.com/office/drawing/2014/main" id="{00000000-0008-0000-0200-00004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8" name="Text Box 427">
          <a:extLst>
            <a:ext uri="{FF2B5EF4-FFF2-40B4-BE49-F238E27FC236}">
              <a16:creationId xmlns:a16="http://schemas.microsoft.com/office/drawing/2014/main" id="{00000000-0008-0000-0200-00004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099" name="Text Box 428">
          <a:extLst>
            <a:ext uri="{FF2B5EF4-FFF2-40B4-BE49-F238E27FC236}">
              <a16:creationId xmlns:a16="http://schemas.microsoft.com/office/drawing/2014/main" id="{00000000-0008-0000-0200-00004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0" name="Text Box 429">
          <a:extLst>
            <a:ext uri="{FF2B5EF4-FFF2-40B4-BE49-F238E27FC236}">
              <a16:creationId xmlns:a16="http://schemas.microsoft.com/office/drawing/2014/main" id="{00000000-0008-0000-0200-00004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1" name="Text Box 430">
          <a:extLst>
            <a:ext uri="{FF2B5EF4-FFF2-40B4-BE49-F238E27FC236}">
              <a16:creationId xmlns:a16="http://schemas.microsoft.com/office/drawing/2014/main" id="{00000000-0008-0000-0200-00004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2" name="Text Box 431">
          <a:extLst>
            <a:ext uri="{FF2B5EF4-FFF2-40B4-BE49-F238E27FC236}">
              <a16:creationId xmlns:a16="http://schemas.microsoft.com/office/drawing/2014/main" id="{00000000-0008-0000-0200-00004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3" name="Text Box 432">
          <a:extLst>
            <a:ext uri="{FF2B5EF4-FFF2-40B4-BE49-F238E27FC236}">
              <a16:creationId xmlns:a16="http://schemas.microsoft.com/office/drawing/2014/main" id="{00000000-0008-0000-0200-00004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4" name="Text Box 433">
          <a:extLst>
            <a:ext uri="{FF2B5EF4-FFF2-40B4-BE49-F238E27FC236}">
              <a16:creationId xmlns:a16="http://schemas.microsoft.com/office/drawing/2014/main" id="{00000000-0008-0000-0200-00005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5" name="Text Box 434">
          <a:extLst>
            <a:ext uri="{FF2B5EF4-FFF2-40B4-BE49-F238E27FC236}">
              <a16:creationId xmlns:a16="http://schemas.microsoft.com/office/drawing/2014/main" id="{00000000-0008-0000-0200-00005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6" name="Text Box 435">
          <a:extLst>
            <a:ext uri="{FF2B5EF4-FFF2-40B4-BE49-F238E27FC236}">
              <a16:creationId xmlns:a16="http://schemas.microsoft.com/office/drawing/2014/main" id="{00000000-0008-0000-0200-00005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7" name="Text Box 436">
          <a:extLst>
            <a:ext uri="{FF2B5EF4-FFF2-40B4-BE49-F238E27FC236}">
              <a16:creationId xmlns:a16="http://schemas.microsoft.com/office/drawing/2014/main" id="{00000000-0008-0000-0200-00005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8" name="Text Box 437">
          <a:extLst>
            <a:ext uri="{FF2B5EF4-FFF2-40B4-BE49-F238E27FC236}">
              <a16:creationId xmlns:a16="http://schemas.microsoft.com/office/drawing/2014/main" id="{00000000-0008-0000-0200-00005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09" name="Text Box 438">
          <a:extLst>
            <a:ext uri="{FF2B5EF4-FFF2-40B4-BE49-F238E27FC236}">
              <a16:creationId xmlns:a16="http://schemas.microsoft.com/office/drawing/2014/main" id="{00000000-0008-0000-0200-00005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0" name="Text Box 439">
          <a:extLst>
            <a:ext uri="{FF2B5EF4-FFF2-40B4-BE49-F238E27FC236}">
              <a16:creationId xmlns:a16="http://schemas.microsoft.com/office/drawing/2014/main" id="{00000000-0008-0000-0200-00005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1" name="Text Box 440">
          <a:extLst>
            <a:ext uri="{FF2B5EF4-FFF2-40B4-BE49-F238E27FC236}">
              <a16:creationId xmlns:a16="http://schemas.microsoft.com/office/drawing/2014/main" id="{00000000-0008-0000-0200-00005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2" name="Text Box 441">
          <a:extLst>
            <a:ext uri="{FF2B5EF4-FFF2-40B4-BE49-F238E27FC236}">
              <a16:creationId xmlns:a16="http://schemas.microsoft.com/office/drawing/2014/main" id="{00000000-0008-0000-0200-00005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3" name="Text Box 442">
          <a:extLst>
            <a:ext uri="{FF2B5EF4-FFF2-40B4-BE49-F238E27FC236}">
              <a16:creationId xmlns:a16="http://schemas.microsoft.com/office/drawing/2014/main" id="{00000000-0008-0000-0200-00005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4" name="Text Box 443">
          <a:extLst>
            <a:ext uri="{FF2B5EF4-FFF2-40B4-BE49-F238E27FC236}">
              <a16:creationId xmlns:a16="http://schemas.microsoft.com/office/drawing/2014/main" id="{00000000-0008-0000-0200-00005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5" name="Text Box 444">
          <a:extLst>
            <a:ext uri="{FF2B5EF4-FFF2-40B4-BE49-F238E27FC236}">
              <a16:creationId xmlns:a16="http://schemas.microsoft.com/office/drawing/2014/main" id="{00000000-0008-0000-0200-00005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6" name="Text Box 445">
          <a:extLst>
            <a:ext uri="{FF2B5EF4-FFF2-40B4-BE49-F238E27FC236}">
              <a16:creationId xmlns:a16="http://schemas.microsoft.com/office/drawing/2014/main" id="{00000000-0008-0000-0200-00005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117" name="Text Box 446">
          <a:extLst>
            <a:ext uri="{FF2B5EF4-FFF2-40B4-BE49-F238E27FC236}">
              <a16:creationId xmlns:a16="http://schemas.microsoft.com/office/drawing/2014/main" id="{00000000-0008-0000-0200-00005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18" name="Text Box 447">
          <a:extLst>
            <a:ext uri="{FF2B5EF4-FFF2-40B4-BE49-F238E27FC236}">
              <a16:creationId xmlns:a16="http://schemas.microsoft.com/office/drawing/2014/main" id="{00000000-0008-0000-0200-00005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19" name="Text Box 448">
          <a:extLst>
            <a:ext uri="{FF2B5EF4-FFF2-40B4-BE49-F238E27FC236}">
              <a16:creationId xmlns:a16="http://schemas.microsoft.com/office/drawing/2014/main" id="{00000000-0008-0000-0200-00005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0" name="Text Box 449">
          <a:extLst>
            <a:ext uri="{FF2B5EF4-FFF2-40B4-BE49-F238E27FC236}">
              <a16:creationId xmlns:a16="http://schemas.microsoft.com/office/drawing/2014/main" id="{00000000-0008-0000-0200-00006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21" name="Text Box 450">
          <a:extLst>
            <a:ext uri="{FF2B5EF4-FFF2-40B4-BE49-F238E27FC236}">
              <a16:creationId xmlns:a16="http://schemas.microsoft.com/office/drawing/2014/main" id="{00000000-0008-0000-0200-00006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2" name="Text Box 451">
          <a:extLst>
            <a:ext uri="{FF2B5EF4-FFF2-40B4-BE49-F238E27FC236}">
              <a16:creationId xmlns:a16="http://schemas.microsoft.com/office/drawing/2014/main" id="{00000000-0008-0000-0200-00006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3" name="Text Box 452">
          <a:extLst>
            <a:ext uri="{FF2B5EF4-FFF2-40B4-BE49-F238E27FC236}">
              <a16:creationId xmlns:a16="http://schemas.microsoft.com/office/drawing/2014/main" id="{00000000-0008-0000-0200-00006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24" name="Text Box 453">
          <a:extLst>
            <a:ext uri="{FF2B5EF4-FFF2-40B4-BE49-F238E27FC236}">
              <a16:creationId xmlns:a16="http://schemas.microsoft.com/office/drawing/2014/main" id="{00000000-0008-0000-0200-000064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5" name="Text Box 454">
          <a:extLst>
            <a:ext uri="{FF2B5EF4-FFF2-40B4-BE49-F238E27FC236}">
              <a16:creationId xmlns:a16="http://schemas.microsoft.com/office/drawing/2014/main" id="{00000000-0008-0000-0200-00006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6" name="Text Box 455">
          <a:extLst>
            <a:ext uri="{FF2B5EF4-FFF2-40B4-BE49-F238E27FC236}">
              <a16:creationId xmlns:a16="http://schemas.microsoft.com/office/drawing/2014/main" id="{00000000-0008-0000-0200-00006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27" name="Text Box 456">
          <a:extLst>
            <a:ext uri="{FF2B5EF4-FFF2-40B4-BE49-F238E27FC236}">
              <a16:creationId xmlns:a16="http://schemas.microsoft.com/office/drawing/2014/main" id="{00000000-0008-0000-0200-000067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28" name="Text Box 457">
          <a:extLst>
            <a:ext uri="{FF2B5EF4-FFF2-40B4-BE49-F238E27FC236}">
              <a16:creationId xmlns:a16="http://schemas.microsoft.com/office/drawing/2014/main" id="{00000000-0008-0000-0200-00006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29" name="Text Box 458">
          <a:extLst>
            <a:ext uri="{FF2B5EF4-FFF2-40B4-BE49-F238E27FC236}">
              <a16:creationId xmlns:a16="http://schemas.microsoft.com/office/drawing/2014/main" id="{00000000-0008-0000-0200-00006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0" name="Text Box 459">
          <a:extLst>
            <a:ext uri="{FF2B5EF4-FFF2-40B4-BE49-F238E27FC236}">
              <a16:creationId xmlns:a16="http://schemas.microsoft.com/office/drawing/2014/main" id="{00000000-0008-0000-0200-00006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31" name="Text Box 460">
          <a:extLst>
            <a:ext uri="{FF2B5EF4-FFF2-40B4-BE49-F238E27FC236}">
              <a16:creationId xmlns:a16="http://schemas.microsoft.com/office/drawing/2014/main" id="{00000000-0008-0000-0200-00006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2" name="Text Box 461">
          <a:extLst>
            <a:ext uri="{FF2B5EF4-FFF2-40B4-BE49-F238E27FC236}">
              <a16:creationId xmlns:a16="http://schemas.microsoft.com/office/drawing/2014/main" id="{00000000-0008-0000-0200-00006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3" name="Text Box 462">
          <a:extLst>
            <a:ext uri="{FF2B5EF4-FFF2-40B4-BE49-F238E27FC236}">
              <a16:creationId xmlns:a16="http://schemas.microsoft.com/office/drawing/2014/main" id="{00000000-0008-0000-0200-00006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34" name="Text Box 463">
          <a:extLst>
            <a:ext uri="{FF2B5EF4-FFF2-40B4-BE49-F238E27FC236}">
              <a16:creationId xmlns:a16="http://schemas.microsoft.com/office/drawing/2014/main" id="{00000000-0008-0000-0200-00006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5" name="Text Box 464">
          <a:extLst>
            <a:ext uri="{FF2B5EF4-FFF2-40B4-BE49-F238E27FC236}">
              <a16:creationId xmlns:a16="http://schemas.microsoft.com/office/drawing/2014/main" id="{00000000-0008-0000-0200-00006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6" name="Text Box 465">
          <a:extLst>
            <a:ext uri="{FF2B5EF4-FFF2-40B4-BE49-F238E27FC236}">
              <a16:creationId xmlns:a16="http://schemas.microsoft.com/office/drawing/2014/main" id="{00000000-0008-0000-0200-00007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37" name="Text Box 466">
          <a:extLst>
            <a:ext uri="{FF2B5EF4-FFF2-40B4-BE49-F238E27FC236}">
              <a16:creationId xmlns:a16="http://schemas.microsoft.com/office/drawing/2014/main" id="{00000000-0008-0000-0200-00007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38" name="Text Box 467">
          <a:extLst>
            <a:ext uri="{FF2B5EF4-FFF2-40B4-BE49-F238E27FC236}">
              <a16:creationId xmlns:a16="http://schemas.microsoft.com/office/drawing/2014/main" id="{00000000-0008-0000-0200-00007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39" name="Text Box 468">
          <a:extLst>
            <a:ext uri="{FF2B5EF4-FFF2-40B4-BE49-F238E27FC236}">
              <a16:creationId xmlns:a16="http://schemas.microsoft.com/office/drawing/2014/main" id="{00000000-0008-0000-0200-00007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0" name="Text Box 469">
          <a:extLst>
            <a:ext uri="{FF2B5EF4-FFF2-40B4-BE49-F238E27FC236}">
              <a16:creationId xmlns:a16="http://schemas.microsoft.com/office/drawing/2014/main" id="{00000000-0008-0000-0200-00007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41" name="Text Box 470">
          <a:extLst>
            <a:ext uri="{FF2B5EF4-FFF2-40B4-BE49-F238E27FC236}">
              <a16:creationId xmlns:a16="http://schemas.microsoft.com/office/drawing/2014/main" id="{00000000-0008-0000-0200-00007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2" name="Text Box 471">
          <a:extLst>
            <a:ext uri="{FF2B5EF4-FFF2-40B4-BE49-F238E27FC236}">
              <a16:creationId xmlns:a16="http://schemas.microsoft.com/office/drawing/2014/main" id="{00000000-0008-0000-0200-00007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3" name="Text Box 472">
          <a:extLst>
            <a:ext uri="{FF2B5EF4-FFF2-40B4-BE49-F238E27FC236}">
              <a16:creationId xmlns:a16="http://schemas.microsoft.com/office/drawing/2014/main" id="{00000000-0008-0000-0200-00007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44" name="Text Box 473">
          <a:extLst>
            <a:ext uri="{FF2B5EF4-FFF2-40B4-BE49-F238E27FC236}">
              <a16:creationId xmlns:a16="http://schemas.microsoft.com/office/drawing/2014/main" id="{00000000-0008-0000-0200-00007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5" name="Text Box 474">
          <a:extLst>
            <a:ext uri="{FF2B5EF4-FFF2-40B4-BE49-F238E27FC236}">
              <a16:creationId xmlns:a16="http://schemas.microsoft.com/office/drawing/2014/main" id="{00000000-0008-0000-0200-00007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6" name="Text Box 475">
          <a:extLst>
            <a:ext uri="{FF2B5EF4-FFF2-40B4-BE49-F238E27FC236}">
              <a16:creationId xmlns:a16="http://schemas.microsoft.com/office/drawing/2014/main" id="{00000000-0008-0000-0200-00007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47" name="Text Box 476">
          <a:extLst>
            <a:ext uri="{FF2B5EF4-FFF2-40B4-BE49-F238E27FC236}">
              <a16:creationId xmlns:a16="http://schemas.microsoft.com/office/drawing/2014/main" id="{00000000-0008-0000-0200-00007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8" name="Text Box 477">
          <a:extLst>
            <a:ext uri="{FF2B5EF4-FFF2-40B4-BE49-F238E27FC236}">
              <a16:creationId xmlns:a16="http://schemas.microsoft.com/office/drawing/2014/main" id="{00000000-0008-0000-0200-00007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49" name="Text Box 478">
          <a:extLst>
            <a:ext uri="{FF2B5EF4-FFF2-40B4-BE49-F238E27FC236}">
              <a16:creationId xmlns:a16="http://schemas.microsoft.com/office/drawing/2014/main" id="{00000000-0008-0000-0200-00007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50" name="Text Box 479">
          <a:extLst>
            <a:ext uri="{FF2B5EF4-FFF2-40B4-BE49-F238E27FC236}">
              <a16:creationId xmlns:a16="http://schemas.microsoft.com/office/drawing/2014/main" id="{00000000-0008-0000-0200-00007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1" name="Text Box 480">
          <a:extLst>
            <a:ext uri="{FF2B5EF4-FFF2-40B4-BE49-F238E27FC236}">
              <a16:creationId xmlns:a16="http://schemas.microsoft.com/office/drawing/2014/main" id="{00000000-0008-0000-0200-00007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2" name="Text Box 481">
          <a:extLst>
            <a:ext uri="{FF2B5EF4-FFF2-40B4-BE49-F238E27FC236}">
              <a16:creationId xmlns:a16="http://schemas.microsoft.com/office/drawing/2014/main" id="{00000000-0008-0000-0200-00008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53" name="Text Box 482">
          <a:extLst>
            <a:ext uri="{FF2B5EF4-FFF2-40B4-BE49-F238E27FC236}">
              <a16:creationId xmlns:a16="http://schemas.microsoft.com/office/drawing/2014/main" id="{00000000-0008-0000-0200-000081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4" name="Text Box 483">
          <a:extLst>
            <a:ext uri="{FF2B5EF4-FFF2-40B4-BE49-F238E27FC236}">
              <a16:creationId xmlns:a16="http://schemas.microsoft.com/office/drawing/2014/main" id="{00000000-0008-0000-0200-00008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5" name="Text Box 484">
          <a:extLst>
            <a:ext uri="{FF2B5EF4-FFF2-40B4-BE49-F238E27FC236}">
              <a16:creationId xmlns:a16="http://schemas.microsoft.com/office/drawing/2014/main" id="{00000000-0008-0000-0200-00008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56" name="Text Box 485">
          <a:extLst>
            <a:ext uri="{FF2B5EF4-FFF2-40B4-BE49-F238E27FC236}">
              <a16:creationId xmlns:a16="http://schemas.microsoft.com/office/drawing/2014/main" id="{00000000-0008-0000-0200-000084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57" name="Text Box 486">
          <a:extLst>
            <a:ext uri="{FF2B5EF4-FFF2-40B4-BE49-F238E27FC236}">
              <a16:creationId xmlns:a16="http://schemas.microsoft.com/office/drawing/2014/main" id="{00000000-0008-0000-0200-00008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8" name="Text Box 487">
          <a:extLst>
            <a:ext uri="{FF2B5EF4-FFF2-40B4-BE49-F238E27FC236}">
              <a16:creationId xmlns:a16="http://schemas.microsoft.com/office/drawing/2014/main" id="{00000000-0008-0000-0200-00008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59" name="Text Box 488">
          <a:extLst>
            <a:ext uri="{FF2B5EF4-FFF2-40B4-BE49-F238E27FC236}">
              <a16:creationId xmlns:a16="http://schemas.microsoft.com/office/drawing/2014/main" id="{00000000-0008-0000-0200-00008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60" name="Text Box 489">
          <a:extLst>
            <a:ext uri="{FF2B5EF4-FFF2-40B4-BE49-F238E27FC236}">
              <a16:creationId xmlns:a16="http://schemas.microsoft.com/office/drawing/2014/main" id="{00000000-0008-0000-0200-00008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1" name="Text Box 490">
          <a:extLst>
            <a:ext uri="{FF2B5EF4-FFF2-40B4-BE49-F238E27FC236}">
              <a16:creationId xmlns:a16="http://schemas.microsoft.com/office/drawing/2014/main" id="{00000000-0008-0000-0200-00008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2" name="Text Box 491">
          <a:extLst>
            <a:ext uri="{FF2B5EF4-FFF2-40B4-BE49-F238E27FC236}">
              <a16:creationId xmlns:a16="http://schemas.microsoft.com/office/drawing/2014/main" id="{00000000-0008-0000-0200-00008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63" name="Text Box 492">
          <a:extLst>
            <a:ext uri="{FF2B5EF4-FFF2-40B4-BE49-F238E27FC236}">
              <a16:creationId xmlns:a16="http://schemas.microsoft.com/office/drawing/2014/main" id="{00000000-0008-0000-0200-00008B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4" name="Text Box 493">
          <a:extLst>
            <a:ext uri="{FF2B5EF4-FFF2-40B4-BE49-F238E27FC236}">
              <a16:creationId xmlns:a16="http://schemas.microsoft.com/office/drawing/2014/main" id="{00000000-0008-0000-0200-00008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5" name="Text Box 494">
          <a:extLst>
            <a:ext uri="{FF2B5EF4-FFF2-40B4-BE49-F238E27FC236}">
              <a16:creationId xmlns:a16="http://schemas.microsoft.com/office/drawing/2014/main" id="{00000000-0008-0000-0200-00008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66" name="Text Box 495">
          <a:extLst>
            <a:ext uri="{FF2B5EF4-FFF2-40B4-BE49-F238E27FC236}">
              <a16:creationId xmlns:a16="http://schemas.microsoft.com/office/drawing/2014/main" id="{00000000-0008-0000-0200-00008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67" name="Text Box 496">
          <a:extLst>
            <a:ext uri="{FF2B5EF4-FFF2-40B4-BE49-F238E27FC236}">
              <a16:creationId xmlns:a16="http://schemas.microsoft.com/office/drawing/2014/main" id="{00000000-0008-0000-0200-00008F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8" name="Text Box 497">
          <a:extLst>
            <a:ext uri="{FF2B5EF4-FFF2-40B4-BE49-F238E27FC236}">
              <a16:creationId xmlns:a16="http://schemas.microsoft.com/office/drawing/2014/main" id="{00000000-0008-0000-0200-00009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69" name="Text Box 498">
          <a:extLst>
            <a:ext uri="{FF2B5EF4-FFF2-40B4-BE49-F238E27FC236}">
              <a16:creationId xmlns:a16="http://schemas.microsoft.com/office/drawing/2014/main" id="{00000000-0008-0000-0200-00009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70" name="Text Box 499">
          <a:extLst>
            <a:ext uri="{FF2B5EF4-FFF2-40B4-BE49-F238E27FC236}">
              <a16:creationId xmlns:a16="http://schemas.microsoft.com/office/drawing/2014/main" id="{00000000-0008-0000-0200-000092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1" name="Text Box 500">
          <a:extLst>
            <a:ext uri="{FF2B5EF4-FFF2-40B4-BE49-F238E27FC236}">
              <a16:creationId xmlns:a16="http://schemas.microsoft.com/office/drawing/2014/main" id="{00000000-0008-0000-0200-00009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2" name="Text Box 501">
          <a:extLst>
            <a:ext uri="{FF2B5EF4-FFF2-40B4-BE49-F238E27FC236}">
              <a16:creationId xmlns:a16="http://schemas.microsoft.com/office/drawing/2014/main" id="{00000000-0008-0000-0200-00009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73" name="Text Box 502">
          <a:extLst>
            <a:ext uri="{FF2B5EF4-FFF2-40B4-BE49-F238E27FC236}">
              <a16:creationId xmlns:a16="http://schemas.microsoft.com/office/drawing/2014/main" id="{00000000-0008-0000-0200-00009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4" name="Text Box 503">
          <a:extLst>
            <a:ext uri="{FF2B5EF4-FFF2-40B4-BE49-F238E27FC236}">
              <a16:creationId xmlns:a16="http://schemas.microsoft.com/office/drawing/2014/main" id="{00000000-0008-0000-0200-00009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5" name="Text Box 504">
          <a:extLst>
            <a:ext uri="{FF2B5EF4-FFF2-40B4-BE49-F238E27FC236}">
              <a16:creationId xmlns:a16="http://schemas.microsoft.com/office/drawing/2014/main" id="{00000000-0008-0000-0200-00009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176" name="Text Box 505">
          <a:extLst>
            <a:ext uri="{FF2B5EF4-FFF2-40B4-BE49-F238E27FC236}">
              <a16:creationId xmlns:a16="http://schemas.microsoft.com/office/drawing/2014/main" id="{00000000-0008-0000-0200-00009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7" name="Text Box 506">
          <a:extLst>
            <a:ext uri="{FF2B5EF4-FFF2-40B4-BE49-F238E27FC236}">
              <a16:creationId xmlns:a16="http://schemas.microsoft.com/office/drawing/2014/main" id="{00000000-0008-0000-0200-00009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78" name="Text Box 507">
          <a:extLst>
            <a:ext uri="{FF2B5EF4-FFF2-40B4-BE49-F238E27FC236}">
              <a16:creationId xmlns:a16="http://schemas.microsoft.com/office/drawing/2014/main" id="{00000000-0008-0000-0200-00009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79" name="Text Box 508">
          <a:extLst>
            <a:ext uri="{FF2B5EF4-FFF2-40B4-BE49-F238E27FC236}">
              <a16:creationId xmlns:a16="http://schemas.microsoft.com/office/drawing/2014/main" id="{00000000-0008-0000-0200-00009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0" name="Text Box 509">
          <a:extLst>
            <a:ext uri="{FF2B5EF4-FFF2-40B4-BE49-F238E27FC236}">
              <a16:creationId xmlns:a16="http://schemas.microsoft.com/office/drawing/2014/main" id="{00000000-0008-0000-0200-00009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1" name="Text Box 510">
          <a:extLst>
            <a:ext uri="{FF2B5EF4-FFF2-40B4-BE49-F238E27FC236}">
              <a16:creationId xmlns:a16="http://schemas.microsoft.com/office/drawing/2014/main" id="{00000000-0008-0000-0200-00009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82" name="Text Box 511">
          <a:extLst>
            <a:ext uri="{FF2B5EF4-FFF2-40B4-BE49-F238E27FC236}">
              <a16:creationId xmlns:a16="http://schemas.microsoft.com/office/drawing/2014/main" id="{00000000-0008-0000-0200-00009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3" name="Text Box 512">
          <a:extLst>
            <a:ext uri="{FF2B5EF4-FFF2-40B4-BE49-F238E27FC236}">
              <a16:creationId xmlns:a16="http://schemas.microsoft.com/office/drawing/2014/main" id="{00000000-0008-0000-0200-00009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4" name="Text Box 513">
          <a:extLst>
            <a:ext uri="{FF2B5EF4-FFF2-40B4-BE49-F238E27FC236}">
              <a16:creationId xmlns:a16="http://schemas.microsoft.com/office/drawing/2014/main" id="{00000000-0008-0000-0200-0000A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85" name="Text Box 514">
          <a:extLst>
            <a:ext uri="{FF2B5EF4-FFF2-40B4-BE49-F238E27FC236}">
              <a16:creationId xmlns:a16="http://schemas.microsoft.com/office/drawing/2014/main" id="{00000000-0008-0000-0200-0000A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86" name="Text Box 515">
          <a:extLst>
            <a:ext uri="{FF2B5EF4-FFF2-40B4-BE49-F238E27FC236}">
              <a16:creationId xmlns:a16="http://schemas.microsoft.com/office/drawing/2014/main" id="{00000000-0008-0000-0200-0000A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7" name="Text Box 516">
          <a:extLst>
            <a:ext uri="{FF2B5EF4-FFF2-40B4-BE49-F238E27FC236}">
              <a16:creationId xmlns:a16="http://schemas.microsoft.com/office/drawing/2014/main" id="{00000000-0008-0000-0200-0000A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88" name="Text Box 517">
          <a:extLst>
            <a:ext uri="{FF2B5EF4-FFF2-40B4-BE49-F238E27FC236}">
              <a16:creationId xmlns:a16="http://schemas.microsoft.com/office/drawing/2014/main" id="{00000000-0008-0000-0200-0000A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89" name="Text Box 518">
          <a:extLst>
            <a:ext uri="{FF2B5EF4-FFF2-40B4-BE49-F238E27FC236}">
              <a16:creationId xmlns:a16="http://schemas.microsoft.com/office/drawing/2014/main" id="{00000000-0008-0000-0200-0000A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0" name="Text Box 519">
          <a:extLst>
            <a:ext uri="{FF2B5EF4-FFF2-40B4-BE49-F238E27FC236}">
              <a16:creationId xmlns:a16="http://schemas.microsoft.com/office/drawing/2014/main" id="{00000000-0008-0000-0200-0000A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1" name="Text Box 520">
          <a:extLst>
            <a:ext uri="{FF2B5EF4-FFF2-40B4-BE49-F238E27FC236}">
              <a16:creationId xmlns:a16="http://schemas.microsoft.com/office/drawing/2014/main" id="{00000000-0008-0000-0200-0000A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92" name="Text Box 521">
          <a:extLst>
            <a:ext uri="{FF2B5EF4-FFF2-40B4-BE49-F238E27FC236}">
              <a16:creationId xmlns:a16="http://schemas.microsoft.com/office/drawing/2014/main" id="{00000000-0008-0000-0200-0000A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3" name="Text Box 522">
          <a:extLst>
            <a:ext uri="{FF2B5EF4-FFF2-40B4-BE49-F238E27FC236}">
              <a16:creationId xmlns:a16="http://schemas.microsoft.com/office/drawing/2014/main" id="{00000000-0008-0000-0200-0000A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4" name="Text Box 523">
          <a:extLst>
            <a:ext uri="{FF2B5EF4-FFF2-40B4-BE49-F238E27FC236}">
              <a16:creationId xmlns:a16="http://schemas.microsoft.com/office/drawing/2014/main" id="{00000000-0008-0000-0200-0000A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95" name="Text Box 524">
          <a:extLst>
            <a:ext uri="{FF2B5EF4-FFF2-40B4-BE49-F238E27FC236}">
              <a16:creationId xmlns:a16="http://schemas.microsoft.com/office/drawing/2014/main" id="{00000000-0008-0000-0200-0000A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96" name="Text Box 525">
          <a:extLst>
            <a:ext uri="{FF2B5EF4-FFF2-40B4-BE49-F238E27FC236}">
              <a16:creationId xmlns:a16="http://schemas.microsoft.com/office/drawing/2014/main" id="{00000000-0008-0000-0200-0000AC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7" name="Text Box 526">
          <a:extLst>
            <a:ext uri="{FF2B5EF4-FFF2-40B4-BE49-F238E27FC236}">
              <a16:creationId xmlns:a16="http://schemas.microsoft.com/office/drawing/2014/main" id="{00000000-0008-0000-0200-0000A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198" name="Text Box 527">
          <a:extLst>
            <a:ext uri="{FF2B5EF4-FFF2-40B4-BE49-F238E27FC236}">
              <a16:creationId xmlns:a16="http://schemas.microsoft.com/office/drawing/2014/main" id="{00000000-0008-0000-0200-0000A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199" name="Text Box 528">
          <a:extLst>
            <a:ext uri="{FF2B5EF4-FFF2-40B4-BE49-F238E27FC236}">
              <a16:creationId xmlns:a16="http://schemas.microsoft.com/office/drawing/2014/main" id="{00000000-0008-0000-0200-0000AF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0" name="Text Box 529">
          <a:extLst>
            <a:ext uri="{FF2B5EF4-FFF2-40B4-BE49-F238E27FC236}">
              <a16:creationId xmlns:a16="http://schemas.microsoft.com/office/drawing/2014/main" id="{00000000-0008-0000-0200-0000B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1" name="Text Box 530">
          <a:extLst>
            <a:ext uri="{FF2B5EF4-FFF2-40B4-BE49-F238E27FC236}">
              <a16:creationId xmlns:a16="http://schemas.microsoft.com/office/drawing/2014/main" id="{00000000-0008-0000-0200-0000B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202" name="Text Box 531">
          <a:extLst>
            <a:ext uri="{FF2B5EF4-FFF2-40B4-BE49-F238E27FC236}">
              <a16:creationId xmlns:a16="http://schemas.microsoft.com/office/drawing/2014/main" id="{00000000-0008-0000-0200-0000B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3" name="Text Box 532">
          <a:extLst>
            <a:ext uri="{FF2B5EF4-FFF2-40B4-BE49-F238E27FC236}">
              <a16:creationId xmlns:a16="http://schemas.microsoft.com/office/drawing/2014/main" id="{00000000-0008-0000-0200-0000B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4" name="Text Box 533">
          <a:extLst>
            <a:ext uri="{FF2B5EF4-FFF2-40B4-BE49-F238E27FC236}">
              <a16:creationId xmlns:a16="http://schemas.microsoft.com/office/drawing/2014/main" id="{00000000-0008-0000-0200-0000B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205" name="Text Box 534">
          <a:extLst>
            <a:ext uri="{FF2B5EF4-FFF2-40B4-BE49-F238E27FC236}">
              <a16:creationId xmlns:a16="http://schemas.microsoft.com/office/drawing/2014/main" id="{00000000-0008-0000-0200-0000B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06" name="Text Box 535">
          <a:extLst>
            <a:ext uri="{FF2B5EF4-FFF2-40B4-BE49-F238E27FC236}">
              <a16:creationId xmlns:a16="http://schemas.microsoft.com/office/drawing/2014/main" id="{00000000-0008-0000-0200-0000B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7" name="Text Box 536">
          <a:extLst>
            <a:ext uri="{FF2B5EF4-FFF2-40B4-BE49-F238E27FC236}">
              <a16:creationId xmlns:a16="http://schemas.microsoft.com/office/drawing/2014/main" id="{00000000-0008-0000-0200-0000B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08" name="Text Box 537">
          <a:extLst>
            <a:ext uri="{FF2B5EF4-FFF2-40B4-BE49-F238E27FC236}">
              <a16:creationId xmlns:a16="http://schemas.microsoft.com/office/drawing/2014/main" id="{00000000-0008-0000-0200-0000B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09" name="Text Box 538">
          <a:extLst>
            <a:ext uri="{FF2B5EF4-FFF2-40B4-BE49-F238E27FC236}">
              <a16:creationId xmlns:a16="http://schemas.microsoft.com/office/drawing/2014/main" id="{00000000-0008-0000-0200-0000B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0" name="Text Box 539">
          <a:extLst>
            <a:ext uri="{FF2B5EF4-FFF2-40B4-BE49-F238E27FC236}">
              <a16:creationId xmlns:a16="http://schemas.microsoft.com/office/drawing/2014/main" id="{00000000-0008-0000-0200-0000B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1" name="Text Box 540">
          <a:extLst>
            <a:ext uri="{FF2B5EF4-FFF2-40B4-BE49-F238E27FC236}">
              <a16:creationId xmlns:a16="http://schemas.microsoft.com/office/drawing/2014/main" id="{00000000-0008-0000-0200-0000B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12" name="Text Box 541">
          <a:extLst>
            <a:ext uri="{FF2B5EF4-FFF2-40B4-BE49-F238E27FC236}">
              <a16:creationId xmlns:a16="http://schemas.microsoft.com/office/drawing/2014/main" id="{00000000-0008-0000-0200-0000B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3" name="Text Box 542">
          <a:extLst>
            <a:ext uri="{FF2B5EF4-FFF2-40B4-BE49-F238E27FC236}">
              <a16:creationId xmlns:a16="http://schemas.microsoft.com/office/drawing/2014/main" id="{00000000-0008-0000-0200-0000B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4" name="Text Box 543">
          <a:extLst>
            <a:ext uri="{FF2B5EF4-FFF2-40B4-BE49-F238E27FC236}">
              <a16:creationId xmlns:a16="http://schemas.microsoft.com/office/drawing/2014/main" id="{00000000-0008-0000-0200-0000B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15" name="Text Box 544">
          <a:extLst>
            <a:ext uri="{FF2B5EF4-FFF2-40B4-BE49-F238E27FC236}">
              <a16:creationId xmlns:a16="http://schemas.microsoft.com/office/drawing/2014/main" id="{00000000-0008-0000-0200-0000B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6" name="Text Box 545">
          <a:extLst>
            <a:ext uri="{FF2B5EF4-FFF2-40B4-BE49-F238E27FC236}">
              <a16:creationId xmlns:a16="http://schemas.microsoft.com/office/drawing/2014/main" id="{00000000-0008-0000-0200-0000C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7" name="Text Box 546">
          <a:extLst>
            <a:ext uri="{FF2B5EF4-FFF2-40B4-BE49-F238E27FC236}">
              <a16:creationId xmlns:a16="http://schemas.microsoft.com/office/drawing/2014/main" id="{00000000-0008-0000-0200-0000C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18" name="Text Box 547">
          <a:extLst>
            <a:ext uri="{FF2B5EF4-FFF2-40B4-BE49-F238E27FC236}">
              <a16:creationId xmlns:a16="http://schemas.microsoft.com/office/drawing/2014/main" id="{00000000-0008-0000-0200-0000C2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19" name="Text Box 548">
          <a:extLst>
            <a:ext uri="{FF2B5EF4-FFF2-40B4-BE49-F238E27FC236}">
              <a16:creationId xmlns:a16="http://schemas.microsoft.com/office/drawing/2014/main" id="{00000000-0008-0000-0200-0000C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0" name="Text Box 549">
          <a:extLst>
            <a:ext uri="{FF2B5EF4-FFF2-40B4-BE49-F238E27FC236}">
              <a16:creationId xmlns:a16="http://schemas.microsoft.com/office/drawing/2014/main" id="{00000000-0008-0000-0200-0000C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21" name="Text Box 550">
          <a:extLst>
            <a:ext uri="{FF2B5EF4-FFF2-40B4-BE49-F238E27FC236}">
              <a16:creationId xmlns:a16="http://schemas.microsoft.com/office/drawing/2014/main" id="{00000000-0008-0000-0200-0000C5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22" name="Text Box 551">
          <a:extLst>
            <a:ext uri="{FF2B5EF4-FFF2-40B4-BE49-F238E27FC236}">
              <a16:creationId xmlns:a16="http://schemas.microsoft.com/office/drawing/2014/main" id="{00000000-0008-0000-0200-0000C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3" name="Text Box 552">
          <a:extLst>
            <a:ext uri="{FF2B5EF4-FFF2-40B4-BE49-F238E27FC236}">
              <a16:creationId xmlns:a16="http://schemas.microsoft.com/office/drawing/2014/main" id="{00000000-0008-0000-0200-0000C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4" name="Text Box 553">
          <a:extLst>
            <a:ext uri="{FF2B5EF4-FFF2-40B4-BE49-F238E27FC236}">
              <a16:creationId xmlns:a16="http://schemas.microsoft.com/office/drawing/2014/main" id="{00000000-0008-0000-0200-0000C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25" name="Text Box 554">
          <a:extLst>
            <a:ext uri="{FF2B5EF4-FFF2-40B4-BE49-F238E27FC236}">
              <a16:creationId xmlns:a16="http://schemas.microsoft.com/office/drawing/2014/main" id="{00000000-0008-0000-0200-0000C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6" name="Text Box 555">
          <a:extLst>
            <a:ext uri="{FF2B5EF4-FFF2-40B4-BE49-F238E27FC236}">
              <a16:creationId xmlns:a16="http://schemas.microsoft.com/office/drawing/2014/main" id="{00000000-0008-0000-0200-0000C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7" name="Text Box 556">
          <a:extLst>
            <a:ext uri="{FF2B5EF4-FFF2-40B4-BE49-F238E27FC236}">
              <a16:creationId xmlns:a16="http://schemas.microsoft.com/office/drawing/2014/main" id="{00000000-0008-0000-0200-0000C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28" name="Text Box 557">
          <a:extLst>
            <a:ext uri="{FF2B5EF4-FFF2-40B4-BE49-F238E27FC236}">
              <a16:creationId xmlns:a16="http://schemas.microsoft.com/office/drawing/2014/main" id="{00000000-0008-0000-0200-0000C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29" name="Text Box 558">
          <a:extLst>
            <a:ext uri="{FF2B5EF4-FFF2-40B4-BE49-F238E27FC236}">
              <a16:creationId xmlns:a16="http://schemas.microsoft.com/office/drawing/2014/main" id="{00000000-0008-0000-0200-0000C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0" name="Text Box 559">
          <a:extLst>
            <a:ext uri="{FF2B5EF4-FFF2-40B4-BE49-F238E27FC236}">
              <a16:creationId xmlns:a16="http://schemas.microsoft.com/office/drawing/2014/main" id="{00000000-0008-0000-0200-0000C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31" name="Text Box 560">
          <a:extLst>
            <a:ext uri="{FF2B5EF4-FFF2-40B4-BE49-F238E27FC236}">
              <a16:creationId xmlns:a16="http://schemas.microsoft.com/office/drawing/2014/main" id="{00000000-0008-0000-0200-0000C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32" name="Text Box 561">
          <a:extLst>
            <a:ext uri="{FF2B5EF4-FFF2-40B4-BE49-F238E27FC236}">
              <a16:creationId xmlns:a16="http://schemas.microsoft.com/office/drawing/2014/main" id="{00000000-0008-0000-0200-0000D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3" name="Text Box 562">
          <a:extLst>
            <a:ext uri="{FF2B5EF4-FFF2-40B4-BE49-F238E27FC236}">
              <a16:creationId xmlns:a16="http://schemas.microsoft.com/office/drawing/2014/main" id="{00000000-0008-0000-0200-0000D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4" name="Text Box 563">
          <a:extLst>
            <a:ext uri="{FF2B5EF4-FFF2-40B4-BE49-F238E27FC236}">
              <a16:creationId xmlns:a16="http://schemas.microsoft.com/office/drawing/2014/main" id="{00000000-0008-0000-0200-0000D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35" name="Text Box 564">
          <a:extLst>
            <a:ext uri="{FF2B5EF4-FFF2-40B4-BE49-F238E27FC236}">
              <a16:creationId xmlns:a16="http://schemas.microsoft.com/office/drawing/2014/main" id="{00000000-0008-0000-0200-0000D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6" name="Text Box 565">
          <a:extLst>
            <a:ext uri="{FF2B5EF4-FFF2-40B4-BE49-F238E27FC236}">
              <a16:creationId xmlns:a16="http://schemas.microsoft.com/office/drawing/2014/main" id="{00000000-0008-0000-0200-0000D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7" name="Text Box 566">
          <a:extLst>
            <a:ext uri="{FF2B5EF4-FFF2-40B4-BE49-F238E27FC236}">
              <a16:creationId xmlns:a16="http://schemas.microsoft.com/office/drawing/2014/main" id="{00000000-0008-0000-0200-0000D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38" name="Text Box 567">
          <a:extLst>
            <a:ext uri="{FF2B5EF4-FFF2-40B4-BE49-F238E27FC236}">
              <a16:creationId xmlns:a16="http://schemas.microsoft.com/office/drawing/2014/main" id="{00000000-0008-0000-0200-0000D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39" name="Text Box 568">
          <a:extLst>
            <a:ext uri="{FF2B5EF4-FFF2-40B4-BE49-F238E27FC236}">
              <a16:creationId xmlns:a16="http://schemas.microsoft.com/office/drawing/2014/main" id="{00000000-0008-0000-0200-0000D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0" name="Text Box 569">
          <a:extLst>
            <a:ext uri="{FF2B5EF4-FFF2-40B4-BE49-F238E27FC236}">
              <a16:creationId xmlns:a16="http://schemas.microsoft.com/office/drawing/2014/main" id="{00000000-0008-0000-0200-0000D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41" name="Text Box 570">
          <a:extLst>
            <a:ext uri="{FF2B5EF4-FFF2-40B4-BE49-F238E27FC236}">
              <a16:creationId xmlns:a16="http://schemas.microsoft.com/office/drawing/2014/main" id="{00000000-0008-0000-0200-0000D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42" name="Text Box 571">
          <a:extLst>
            <a:ext uri="{FF2B5EF4-FFF2-40B4-BE49-F238E27FC236}">
              <a16:creationId xmlns:a16="http://schemas.microsoft.com/office/drawing/2014/main" id="{00000000-0008-0000-0200-0000D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3" name="Text Box 572">
          <a:extLst>
            <a:ext uri="{FF2B5EF4-FFF2-40B4-BE49-F238E27FC236}">
              <a16:creationId xmlns:a16="http://schemas.microsoft.com/office/drawing/2014/main" id="{00000000-0008-0000-0200-0000D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4" name="Text Box 573">
          <a:extLst>
            <a:ext uri="{FF2B5EF4-FFF2-40B4-BE49-F238E27FC236}">
              <a16:creationId xmlns:a16="http://schemas.microsoft.com/office/drawing/2014/main" id="{00000000-0008-0000-0200-0000D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45" name="Text Box 574">
          <a:extLst>
            <a:ext uri="{FF2B5EF4-FFF2-40B4-BE49-F238E27FC236}">
              <a16:creationId xmlns:a16="http://schemas.microsoft.com/office/drawing/2014/main" id="{00000000-0008-0000-0200-0000D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6" name="Text Box 575">
          <a:extLst>
            <a:ext uri="{FF2B5EF4-FFF2-40B4-BE49-F238E27FC236}">
              <a16:creationId xmlns:a16="http://schemas.microsoft.com/office/drawing/2014/main" id="{00000000-0008-0000-0200-0000D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7" name="Text Box 576">
          <a:extLst>
            <a:ext uri="{FF2B5EF4-FFF2-40B4-BE49-F238E27FC236}">
              <a16:creationId xmlns:a16="http://schemas.microsoft.com/office/drawing/2014/main" id="{00000000-0008-0000-0200-0000D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48" name="Text Box 577">
          <a:extLst>
            <a:ext uri="{FF2B5EF4-FFF2-40B4-BE49-F238E27FC236}">
              <a16:creationId xmlns:a16="http://schemas.microsoft.com/office/drawing/2014/main" id="{00000000-0008-0000-0200-0000E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49" name="Text Box 578">
          <a:extLst>
            <a:ext uri="{FF2B5EF4-FFF2-40B4-BE49-F238E27FC236}">
              <a16:creationId xmlns:a16="http://schemas.microsoft.com/office/drawing/2014/main" id="{00000000-0008-0000-0200-0000E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0" name="Text Box 579">
          <a:extLst>
            <a:ext uri="{FF2B5EF4-FFF2-40B4-BE49-F238E27FC236}">
              <a16:creationId xmlns:a16="http://schemas.microsoft.com/office/drawing/2014/main" id="{00000000-0008-0000-0200-0000E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51" name="Text Box 580">
          <a:extLst>
            <a:ext uri="{FF2B5EF4-FFF2-40B4-BE49-F238E27FC236}">
              <a16:creationId xmlns:a16="http://schemas.microsoft.com/office/drawing/2014/main" id="{00000000-0008-0000-0200-0000E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2" name="Text Box 581">
          <a:extLst>
            <a:ext uri="{FF2B5EF4-FFF2-40B4-BE49-F238E27FC236}">
              <a16:creationId xmlns:a16="http://schemas.microsoft.com/office/drawing/2014/main" id="{00000000-0008-0000-0200-0000E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3" name="Text Box 582">
          <a:extLst>
            <a:ext uri="{FF2B5EF4-FFF2-40B4-BE49-F238E27FC236}">
              <a16:creationId xmlns:a16="http://schemas.microsoft.com/office/drawing/2014/main" id="{00000000-0008-0000-0200-0000E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54" name="Text Box 583">
          <a:extLst>
            <a:ext uri="{FF2B5EF4-FFF2-40B4-BE49-F238E27FC236}">
              <a16:creationId xmlns:a16="http://schemas.microsoft.com/office/drawing/2014/main" id="{00000000-0008-0000-0200-0000E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5" name="Text Box 584">
          <a:extLst>
            <a:ext uri="{FF2B5EF4-FFF2-40B4-BE49-F238E27FC236}">
              <a16:creationId xmlns:a16="http://schemas.microsoft.com/office/drawing/2014/main" id="{00000000-0008-0000-0200-0000E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6" name="Text Box 585">
          <a:extLst>
            <a:ext uri="{FF2B5EF4-FFF2-40B4-BE49-F238E27FC236}">
              <a16:creationId xmlns:a16="http://schemas.microsoft.com/office/drawing/2014/main" id="{00000000-0008-0000-0200-0000E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57" name="Text Box 586">
          <a:extLst>
            <a:ext uri="{FF2B5EF4-FFF2-40B4-BE49-F238E27FC236}">
              <a16:creationId xmlns:a16="http://schemas.microsoft.com/office/drawing/2014/main" id="{00000000-0008-0000-0200-0000E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58" name="Text Box 587">
          <a:extLst>
            <a:ext uri="{FF2B5EF4-FFF2-40B4-BE49-F238E27FC236}">
              <a16:creationId xmlns:a16="http://schemas.microsoft.com/office/drawing/2014/main" id="{00000000-0008-0000-0200-0000E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59" name="Text Box 588">
          <a:extLst>
            <a:ext uri="{FF2B5EF4-FFF2-40B4-BE49-F238E27FC236}">
              <a16:creationId xmlns:a16="http://schemas.microsoft.com/office/drawing/2014/main" id="{00000000-0008-0000-0200-0000E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0" name="Text Box 589">
          <a:extLst>
            <a:ext uri="{FF2B5EF4-FFF2-40B4-BE49-F238E27FC236}">
              <a16:creationId xmlns:a16="http://schemas.microsoft.com/office/drawing/2014/main" id="{00000000-0008-0000-0200-0000E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61" name="Text Box 590">
          <a:extLst>
            <a:ext uri="{FF2B5EF4-FFF2-40B4-BE49-F238E27FC236}">
              <a16:creationId xmlns:a16="http://schemas.microsoft.com/office/drawing/2014/main" id="{00000000-0008-0000-0200-0000E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2" name="Text Box 591">
          <a:extLst>
            <a:ext uri="{FF2B5EF4-FFF2-40B4-BE49-F238E27FC236}">
              <a16:creationId xmlns:a16="http://schemas.microsoft.com/office/drawing/2014/main" id="{00000000-0008-0000-0200-0000E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3" name="Text Box 592">
          <a:extLst>
            <a:ext uri="{FF2B5EF4-FFF2-40B4-BE49-F238E27FC236}">
              <a16:creationId xmlns:a16="http://schemas.microsoft.com/office/drawing/2014/main" id="{00000000-0008-0000-0200-0000E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64" name="Text Box 593">
          <a:extLst>
            <a:ext uri="{FF2B5EF4-FFF2-40B4-BE49-F238E27FC236}">
              <a16:creationId xmlns:a16="http://schemas.microsoft.com/office/drawing/2014/main" id="{00000000-0008-0000-0200-0000F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5" name="Text Box 594">
          <a:extLst>
            <a:ext uri="{FF2B5EF4-FFF2-40B4-BE49-F238E27FC236}">
              <a16:creationId xmlns:a16="http://schemas.microsoft.com/office/drawing/2014/main" id="{00000000-0008-0000-0200-0000F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6" name="Text Box 595">
          <a:extLst>
            <a:ext uri="{FF2B5EF4-FFF2-40B4-BE49-F238E27FC236}">
              <a16:creationId xmlns:a16="http://schemas.microsoft.com/office/drawing/2014/main" id="{00000000-0008-0000-0200-0000F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67" name="Text Box 596">
          <a:extLst>
            <a:ext uri="{FF2B5EF4-FFF2-40B4-BE49-F238E27FC236}">
              <a16:creationId xmlns:a16="http://schemas.microsoft.com/office/drawing/2014/main" id="{00000000-0008-0000-0200-0000F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68" name="Text Box 597">
          <a:extLst>
            <a:ext uri="{FF2B5EF4-FFF2-40B4-BE49-F238E27FC236}">
              <a16:creationId xmlns:a16="http://schemas.microsoft.com/office/drawing/2014/main" id="{00000000-0008-0000-0200-0000F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69" name="Text Box 598">
          <a:extLst>
            <a:ext uri="{FF2B5EF4-FFF2-40B4-BE49-F238E27FC236}">
              <a16:creationId xmlns:a16="http://schemas.microsoft.com/office/drawing/2014/main" id="{00000000-0008-0000-0200-0000F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0" name="Text Box 599">
          <a:extLst>
            <a:ext uri="{FF2B5EF4-FFF2-40B4-BE49-F238E27FC236}">
              <a16:creationId xmlns:a16="http://schemas.microsoft.com/office/drawing/2014/main" id="{00000000-0008-0000-0200-0000F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71" name="Text Box 600">
          <a:extLst>
            <a:ext uri="{FF2B5EF4-FFF2-40B4-BE49-F238E27FC236}">
              <a16:creationId xmlns:a16="http://schemas.microsoft.com/office/drawing/2014/main" id="{00000000-0008-0000-0200-0000F7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2" name="Text Box 601">
          <a:extLst>
            <a:ext uri="{FF2B5EF4-FFF2-40B4-BE49-F238E27FC236}">
              <a16:creationId xmlns:a16="http://schemas.microsoft.com/office/drawing/2014/main" id="{00000000-0008-0000-0200-0000F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3" name="Text Box 602">
          <a:extLst>
            <a:ext uri="{FF2B5EF4-FFF2-40B4-BE49-F238E27FC236}">
              <a16:creationId xmlns:a16="http://schemas.microsoft.com/office/drawing/2014/main" id="{00000000-0008-0000-0200-0000F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74" name="Text Box 603">
          <a:extLst>
            <a:ext uri="{FF2B5EF4-FFF2-40B4-BE49-F238E27FC236}">
              <a16:creationId xmlns:a16="http://schemas.microsoft.com/office/drawing/2014/main" id="{00000000-0008-0000-0200-0000F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5" name="Text Box 604">
          <a:extLst>
            <a:ext uri="{FF2B5EF4-FFF2-40B4-BE49-F238E27FC236}">
              <a16:creationId xmlns:a16="http://schemas.microsoft.com/office/drawing/2014/main" id="{00000000-0008-0000-0200-0000F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6" name="Text Box 605">
          <a:extLst>
            <a:ext uri="{FF2B5EF4-FFF2-40B4-BE49-F238E27FC236}">
              <a16:creationId xmlns:a16="http://schemas.microsoft.com/office/drawing/2014/main" id="{00000000-0008-0000-0200-0000F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277" name="Text Box 606">
          <a:extLst>
            <a:ext uri="{FF2B5EF4-FFF2-40B4-BE49-F238E27FC236}">
              <a16:creationId xmlns:a16="http://schemas.microsoft.com/office/drawing/2014/main" id="{00000000-0008-0000-0200-0000F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78" name="Text Box 607">
          <a:extLst>
            <a:ext uri="{FF2B5EF4-FFF2-40B4-BE49-F238E27FC236}">
              <a16:creationId xmlns:a16="http://schemas.microsoft.com/office/drawing/2014/main" id="{00000000-0008-0000-0200-0000FE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79" name="Text Box 608">
          <a:extLst>
            <a:ext uri="{FF2B5EF4-FFF2-40B4-BE49-F238E27FC236}">
              <a16:creationId xmlns:a16="http://schemas.microsoft.com/office/drawing/2014/main" id="{00000000-0008-0000-0200-0000F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0" name="Text Box 609">
          <a:extLst>
            <a:ext uri="{FF2B5EF4-FFF2-40B4-BE49-F238E27FC236}">
              <a16:creationId xmlns:a16="http://schemas.microsoft.com/office/drawing/2014/main" id="{00000000-0008-0000-0200-00000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81" name="Text Box 610">
          <a:extLst>
            <a:ext uri="{FF2B5EF4-FFF2-40B4-BE49-F238E27FC236}">
              <a16:creationId xmlns:a16="http://schemas.microsoft.com/office/drawing/2014/main" id="{00000000-0008-0000-0200-00000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2" name="Text Box 611">
          <a:extLst>
            <a:ext uri="{FF2B5EF4-FFF2-40B4-BE49-F238E27FC236}">
              <a16:creationId xmlns:a16="http://schemas.microsoft.com/office/drawing/2014/main" id="{00000000-0008-0000-0200-00000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3" name="Text Box 612">
          <a:extLst>
            <a:ext uri="{FF2B5EF4-FFF2-40B4-BE49-F238E27FC236}">
              <a16:creationId xmlns:a16="http://schemas.microsoft.com/office/drawing/2014/main" id="{00000000-0008-0000-0200-00000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84" name="Text Box 613">
          <a:extLst>
            <a:ext uri="{FF2B5EF4-FFF2-40B4-BE49-F238E27FC236}">
              <a16:creationId xmlns:a16="http://schemas.microsoft.com/office/drawing/2014/main" id="{00000000-0008-0000-0200-00000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5" name="Text Box 614">
          <a:extLst>
            <a:ext uri="{FF2B5EF4-FFF2-40B4-BE49-F238E27FC236}">
              <a16:creationId xmlns:a16="http://schemas.microsoft.com/office/drawing/2014/main" id="{00000000-0008-0000-0200-00000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6" name="Text Box 615">
          <a:extLst>
            <a:ext uri="{FF2B5EF4-FFF2-40B4-BE49-F238E27FC236}">
              <a16:creationId xmlns:a16="http://schemas.microsoft.com/office/drawing/2014/main" id="{00000000-0008-0000-0200-00000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87" name="Text Box 616">
          <a:extLst>
            <a:ext uri="{FF2B5EF4-FFF2-40B4-BE49-F238E27FC236}">
              <a16:creationId xmlns:a16="http://schemas.microsoft.com/office/drawing/2014/main" id="{00000000-0008-0000-0200-00000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8" name="Text Box 617">
          <a:extLst>
            <a:ext uri="{FF2B5EF4-FFF2-40B4-BE49-F238E27FC236}">
              <a16:creationId xmlns:a16="http://schemas.microsoft.com/office/drawing/2014/main" id="{00000000-0008-0000-0200-00000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89" name="Text Box 618">
          <a:extLst>
            <a:ext uri="{FF2B5EF4-FFF2-40B4-BE49-F238E27FC236}">
              <a16:creationId xmlns:a16="http://schemas.microsoft.com/office/drawing/2014/main" id="{00000000-0008-0000-0200-00000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90" name="Text Box 619">
          <a:extLst>
            <a:ext uri="{FF2B5EF4-FFF2-40B4-BE49-F238E27FC236}">
              <a16:creationId xmlns:a16="http://schemas.microsoft.com/office/drawing/2014/main" id="{00000000-0008-0000-0200-00000A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1" name="Text Box 620">
          <a:extLst>
            <a:ext uri="{FF2B5EF4-FFF2-40B4-BE49-F238E27FC236}">
              <a16:creationId xmlns:a16="http://schemas.microsoft.com/office/drawing/2014/main" id="{00000000-0008-0000-0200-00000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2" name="Text Box 621">
          <a:extLst>
            <a:ext uri="{FF2B5EF4-FFF2-40B4-BE49-F238E27FC236}">
              <a16:creationId xmlns:a16="http://schemas.microsoft.com/office/drawing/2014/main" id="{00000000-0008-0000-0200-00000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93" name="Text Box 622">
          <a:extLst>
            <a:ext uri="{FF2B5EF4-FFF2-40B4-BE49-F238E27FC236}">
              <a16:creationId xmlns:a16="http://schemas.microsoft.com/office/drawing/2014/main" id="{00000000-0008-0000-0200-00000D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94" name="Text Box 623">
          <a:extLst>
            <a:ext uri="{FF2B5EF4-FFF2-40B4-BE49-F238E27FC236}">
              <a16:creationId xmlns:a16="http://schemas.microsoft.com/office/drawing/2014/main" id="{00000000-0008-0000-0200-00000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5" name="Text Box 624">
          <a:extLst>
            <a:ext uri="{FF2B5EF4-FFF2-40B4-BE49-F238E27FC236}">
              <a16:creationId xmlns:a16="http://schemas.microsoft.com/office/drawing/2014/main" id="{00000000-0008-0000-0200-00000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6" name="Text Box 625">
          <a:extLst>
            <a:ext uri="{FF2B5EF4-FFF2-40B4-BE49-F238E27FC236}">
              <a16:creationId xmlns:a16="http://schemas.microsoft.com/office/drawing/2014/main" id="{00000000-0008-0000-0200-00001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297" name="Text Box 626">
          <a:extLst>
            <a:ext uri="{FF2B5EF4-FFF2-40B4-BE49-F238E27FC236}">
              <a16:creationId xmlns:a16="http://schemas.microsoft.com/office/drawing/2014/main" id="{00000000-0008-0000-0200-00001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8" name="Text Box 627">
          <a:extLst>
            <a:ext uri="{FF2B5EF4-FFF2-40B4-BE49-F238E27FC236}">
              <a16:creationId xmlns:a16="http://schemas.microsoft.com/office/drawing/2014/main" id="{00000000-0008-0000-0200-00001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299" name="Text Box 628">
          <a:extLst>
            <a:ext uri="{FF2B5EF4-FFF2-40B4-BE49-F238E27FC236}">
              <a16:creationId xmlns:a16="http://schemas.microsoft.com/office/drawing/2014/main" id="{00000000-0008-0000-0200-00001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00" name="Text Box 629">
          <a:extLst>
            <a:ext uri="{FF2B5EF4-FFF2-40B4-BE49-F238E27FC236}">
              <a16:creationId xmlns:a16="http://schemas.microsoft.com/office/drawing/2014/main" id="{00000000-0008-0000-0200-00001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1" name="Text Box 630">
          <a:extLst>
            <a:ext uri="{FF2B5EF4-FFF2-40B4-BE49-F238E27FC236}">
              <a16:creationId xmlns:a16="http://schemas.microsoft.com/office/drawing/2014/main" id="{00000000-0008-0000-0200-00001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2" name="Text Box 631">
          <a:extLst>
            <a:ext uri="{FF2B5EF4-FFF2-40B4-BE49-F238E27FC236}">
              <a16:creationId xmlns:a16="http://schemas.microsoft.com/office/drawing/2014/main" id="{00000000-0008-0000-0200-00001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03" name="Text Box 632">
          <a:extLst>
            <a:ext uri="{FF2B5EF4-FFF2-40B4-BE49-F238E27FC236}">
              <a16:creationId xmlns:a16="http://schemas.microsoft.com/office/drawing/2014/main" id="{00000000-0008-0000-0200-00001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04" name="Text Box 633">
          <a:extLst>
            <a:ext uri="{FF2B5EF4-FFF2-40B4-BE49-F238E27FC236}">
              <a16:creationId xmlns:a16="http://schemas.microsoft.com/office/drawing/2014/main" id="{00000000-0008-0000-0200-000018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5" name="Text Box 634">
          <a:extLst>
            <a:ext uri="{FF2B5EF4-FFF2-40B4-BE49-F238E27FC236}">
              <a16:creationId xmlns:a16="http://schemas.microsoft.com/office/drawing/2014/main" id="{00000000-0008-0000-0200-00001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6" name="Text Box 635">
          <a:extLst>
            <a:ext uri="{FF2B5EF4-FFF2-40B4-BE49-F238E27FC236}">
              <a16:creationId xmlns:a16="http://schemas.microsoft.com/office/drawing/2014/main" id="{00000000-0008-0000-0200-00001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07" name="Text Box 636">
          <a:extLst>
            <a:ext uri="{FF2B5EF4-FFF2-40B4-BE49-F238E27FC236}">
              <a16:creationId xmlns:a16="http://schemas.microsoft.com/office/drawing/2014/main" id="{00000000-0008-0000-0200-00001B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8" name="Text Box 637">
          <a:extLst>
            <a:ext uri="{FF2B5EF4-FFF2-40B4-BE49-F238E27FC236}">
              <a16:creationId xmlns:a16="http://schemas.microsoft.com/office/drawing/2014/main" id="{00000000-0008-0000-0200-00001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09" name="Text Box 638">
          <a:extLst>
            <a:ext uri="{FF2B5EF4-FFF2-40B4-BE49-F238E27FC236}">
              <a16:creationId xmlns:a16="http://schemas.microsoft.com/office/drawing/2014/main" id="{00000000-0008-0000-0200-00001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10" name="Text Box 639">
          <a:extLst>
            <a:ext uri="{FF2B5EF4-FFF2-40B4-BE49-F238E27FC236}">
              <a16:creationId xmlns:a16="http://schemas.microsoft.com/office/drawing/2014/main" id="{00000000-0008-0000-0200-00001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1" name="Text Box 640">
          <a:extLst>
            <a:ext uri="{FF2B5EF4-FFF2-40B4-BE49-F238E27FC236}">
              <a16:creationId xmlns:a16="http://schemas.microsoft.com/office/drawing/2014/main" id="{00000000-0008-0000-0200-00001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2" name="Text Box 641">
          <a:extLst>
            <a:ext uri="{FF2B5EF4-FFF2-40B4-BE49-F238E27FC236}">
              <a16:creationId xmlns:a16="http://schemas.microsoft.com/office/drawing/2014/main" id="{00000000-0008-0000-0200-00002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313" name="Text Box 642">
          <a:extLst>
            <a:ext uri="{FF2B5EF4-FFF2-40B4-BE49-F238E27FC236}">
              <a16:creationId xmlns:a16="http://schemas.microsoft.com/office/drawing/2014/main" id="{00000000-0008-0000-0200-00002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4" name="Text Box 643">
          <a:extLst>
            <a:ext uri="{FF2B5EF4-FFF2-40B4-BE49-F238E27FC236}">
              <a16:creationId xmlns:a16="http://schemas.microsoft.com/office/drawing/2014/main" id="{00000000-0008-0000-0200-00002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5" name="Text Box 644">
          <a:extLst>
            <a:ext uri="{FF2B5EF4-FFF2-40B4-BE49-F238E27FC236}">
              <a16:creationId xmlns:a16="http://schemas.microsoft.com/office/drawing/2014/main" id="{00000000-0008-0000-0200-00002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16" name="Text Box 645">
          <a:extLst>
            <a:ext uri="{FF2B5EF4-FFF2-40B4-BE49-F238E27FC236}">
              <a16:creationId xmlns:a16="http://schemas.microsoft.com/office/drawing/2014/main" id="{00000000-0008-0000-0200-00002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7" name="Text Box 646">
          <a:extLst>
            <a:ext uri="{FF2B5EF4-FFF2-40B4-BE49-F238E27FC236}">
              <a16:creationId xmlns:a16="http://schemas.microsoft.com/office/drawing/2014/main" id="{00000000-0008-0000-0200-00002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18" name="Text Box 647">
          <a:extLst>
            <a:ext uri="{FF2B5EF4-FFF2-40B4-BE49-F238E27FC236}">
              <a16:creationId xmlns:a16="http://schemas.microsoft.com/office/drawing/2014/main" id="{00000000-0008-0000-0200-00002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19" name="Text Box 648">
          <a:extLst>
            <a:ext uri="{FF2B5EF4-FFF2-40B4-BE49-F238E27FC236}">
              <a16:creationId xmlns:a16="http://schemas.microsoft.com/office/drawing/2014/main" id="{00000000-0008-0000-0200-000027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0" name="Text Box 649">
          <a:extLst>
            <a:ext uri="{FF2B5EF4-FFF2-40B4-BE49-F238E27FC236}">
              <a16:creationId xmlns:a16="http://schemas.microsoft.com/office/drawing/2014/main" id="{00000000-0008-0000-0200-00002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1" name="Text Box 650">
          <a:extLst>
            <a:ext uri="{FF2B5EF4-FFF2-40B4-BE49-F238E27FC236}">
              <a16:creationId xmlns:a16="http://schemas.microsoft.com/office/drawing/2014/main" id="{00000000-0008-0000-0200-00002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22" name="Text Box 651">
          <a:extLst>
            <a:ext uri="{FF2B5EF4-FFF2-40B4-BE49-F238E27FC236}">
              <a16:creationId xmlns:a16="http://schemas.microsoft.com/office/drawing/2014/main" id="{00000000-0008-0000-0200-00002A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23" name="Text Box 652">
          <a:extLst>
            <a:ext uri="{FF2B5EF4-FFF2-40B4-BE49-F238E27FC236}">
              <a16:creationId xmlns:a16="http://schemas.microsoft.com/office/drawing/2014/main" id="{00000000-0008-0000-0200-00002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4" name="Text Box 653">
          <a:extLst>
            <a:ext uri="{FF2B5EF4-FFF2-40B4-BE49-F238E27FC236}">
              <a16:creationId xmlns:a16="http://schemas.microsoft.com/office/drawing/2014/main" id="{00000000-0008-0000-0200-00002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5" name="Text Box 654">
          <a:extLst>
            <a:ext uri="{FF2B5EF4-FFF2-40B4-BE49-F238E27FC236}">
              <a16:creationId xmlns:a16="http://schemas.microsoft.com/office/drawing/2014/main" id="{00000000-0008-0000-0200-00002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26" name="Text Box 655">
          <a:extLst>
            <a:ext uri="{FF2B5EF4-FFF2-40B4-BE49-F238E27FC236}">
              <a16:creationId xmlns:a16="http://schemas.microsoft.com/office/drawing/2014/main" id="{00000000-0008-0000-0200-00002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7" name="Text Box 656">
          <a:extLst>
            <a:ext uri="{FF2B5EF4-FFF2-40B4-BE49-F238E27FC236}">
              <a16:creationId xmlns:a16="http://schemas.microsoft.com/office/drawing/2014/main" id="{00000000-0008-0000-0200-00002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28" name="Text Box 657">
          <a:extLst>
            <a:ext uri="{FF2B5EF4-FFF2-40B4-BE49-F238E27FC236}">
              <a16:creationId xmlns:a16="http://schemas.microsoft.com/office/drawing/2014/main" id="{00000000-0008-0000-0200-00003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29" name="Text Box 658">
          <a:extLst>
            <a:ext uri="{FF2B5EF4-FFF2-40B4-BE49-F238E27FC236}">
              <a16:creationId xmlns:a16="http://schemas.microsoft.com/office/drawing/2014/main" id="{00000000-0008-0000-0200-00003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0" name="Text Box 659">
          <a:extLst>
            <a:ext uri="{FF2B5EF4-FFF2-40B4-BE49-F238E27FC236}">
              <a16:creationId xmlns:a16="http://schemas.microsoft.com/office/drawing/2014/main" id="{00000000-0008-0000-0200-00003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1" name="Text Box 660">
          <a:extLst>
            <a:ext uri="{FF2B5EF4-FFF2-40B4-BE49-F238E27FC236}">
              <a16:creationId xmlns:a16="http://schemas.microsoft.com/office/drawing/2014/main" id="{00000000-0008-0000-0200-00003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32" name="Text Box 661">
          <a:extLst>
            <a:ext uri="{FF2B5EF4-FFF2-40B4-BE49-F238E27FC236}">
              <a16:creationId xmlns:a16="http://schemas.microsoft.com/office/drawing/2014/main" id="{00000000-0008-0000-0200-00003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3" name="Text Box 662">
          <a:extLst>
            <a:ext uri="{FF2B5EF4-FFF2-40B4-BE49-F238E27FC236}">
              <a16:creationId xmlns:a16="http://schemas.microsoft.com/office/drawing/2014/main" id="{00000000-0008-0000-0200-00003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4" name="Text Box 663">
          <a:extLst>
            <a:ext uri="{FF2B5EF4-FFF2-40B4-BE49-F238E27FC236}">
              <a16:creationId xmlns:a16="http://schemas.microsoft.com/office/drawing/2014/main" id="{00000000-0008-0000-0200-00003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35" name="Text Box 664">
          <a:extLst>
            <a:ext uri="{FF2B5EF4-FFF2-40B4-BE49-F238E27FC236}">
              <a16:creationId xmlns:a16="http://schemas.microsoft.com/office/drawing/2014/main" id="{00000000-0008-0000-0200-00003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6" name="Text Box 665">
          <a:extLst>
            <a:ext uri="{FF2B5EF4-FFF2-40B4-BE49-F238E27FC236}">
              <a16:creationId xmlns:a16="http://schemas.microsoft.com/office/drawing/2014/main" id="{00000000-0008-0000-0200-00003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7" name="Text Box 666">
          <a:extLst>
            <a:ext uri="{FF2B5EF4-FFF2-40B4-BE49-F238E27FC236}">
              <a16:creationId xmlns:a16="http://schemas.microsoft.com/office/drawing/2014/main" id="{00000000-0008-0000-0200-00003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38" name="Text Box 667">
          <a:extLst>
            <a:ext uri="{FF2B5EF4-FFF2-40B4-BE49-F238E27FC236}">
              <a16:creationId xmlns:a16="http://schemas.microsoft.com/office/drawing/2014/main" id="{00000000-0008-0000-0200-00003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39" name="Text Box 668">
          <a:extLst>
            <a:ext uri="{FF2B5EF4-FFF2-40B4-BE49-F238E27FC236}">
              <a16:creationId xmlns:a16="http://schemas.microsoft.com/office/drawing/2014/main" id="{00000000-0008-0000-0200-00003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0" name="Text Box 669">
          <a:extLst>
            <a:ext uri="{FF2B5EF4-FFF2-40B4-BE49-F238E27FC236}">
              <a16:creationId xmlns:a16="http://schemas.microsoft.com/office/drawing/2014/main" id="{00000000-0008-0000-0200-00003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41" name="Text Box 670">
          <a:extLst>
            <a:ext uri="{FF2B5EF4-FFF2-40B4-BE49-F238E27FC236}">
              <a16:creationId xmlns:a16="http://schemas.microsoft.com/office/drawing/2014/main" id="{00000000-0008-0000-0200-00003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42" name="Text Box 671">
          <a:extLst>
            <a:ext uri="{FF2B5EF4-FFF2-40B4-BE49-F238E27FC236}">
              <a16:creationId xmlns:a16="http://schemas.microsoft.com/office/drawing/2014/main" id="{00000000-0008-0000-0200-00003E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3" name="Text Box 672">
          <a:extLst>
            <a:ext uri="{FF2B5EF4-FFF2-40B4-BE49-F238E27FC236}">
              <a16:creationId xmlns:a16="http://schemas.microsoft.com/office/drawing/2014/main" id="{00000000-0008-0000-0200-00003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4" name="Text Box 673">
          <a:extLst>
            <a:ext uri="{FF2B5EF4-FFF2-40B4-BE49-F238E27FC236}">
              <a16:creationId xmlns:a16="http://schemas.microsoft.com/office/drawing/2014/main" id="{00000000-0008-0000-0200-00004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45" name="Text Box 674">
          <a:extLst>
            <a:ext uri="{FF2B5EF4-FFF2-40B4-BE49-F238E27FC236}">
              <a16:creationId xmlns:a16="http://schemas.microsoft.com/office/drawing/2014/main" id="{00000000-0008-0000-0200-000041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6" name="Text Box 675">
          <a:extLst>
            <a:ext uri="{FF2B5EF4-FFF2-40B4-BE49-F238E27FC236}">
              <a16:creationId xmlns:a16="http://schemas.microsoft.com/office/drawing/2014/main" id="{00000000-0008-0000-0200-00004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7" name="Text Box 676">
          <a:extLst>
            <a:ext uri="{FF2B5EF4-FFF2-40B4-BE49-F238E27FC236}">
              <a16:creationId xmlns:a16="http://schemas.microsoft.com/office/drawing/2014/main" id="{00000000-0008-0000-0200-00004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48" name="Text Box 677">
          <a:extLst>
            <a:ext uri="{FF2B5EF4-FFF2-40B4-BE49-F238E27FC236}">
              <a16:creationId xmlns:a16="http://schemas.microsoft.com/office/drawing/2014/main" id="{00000000-0008-0000-0200-000044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49" name="Text Box 678">
          <a:extLst>
            <a:ext uri="{FF2B5EF4-FFF2-40B4-BE49-F238E27FC236}">
              <a16:creationId xmlns:a16="http://schemas.microsoft.com/office/drawing/2014/main" id="{00000000-0008-0000-0200-00004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0" name="Text Box 679">
          <a:extLst>
            <a:ext uri="{FF2B5EF4-FFF2-40B4-BE49-F238E27FC236}">
              <a16:creationId xmlns:a16="http://schemas.microsoft.com/office/drawing/2014/main" id="{00000000-0008-0000-0200-00004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51" name="Text Box 680">
          <a:extLst>
            <a:ext uri="{FF2B5EF4-FFF2-40B4-BE49-F238E27FC236}">
              <a16:creationId xmlns:a16="http://schemas.microsoft.com/office/drawing/2014/main" id="{00000000-0008-0000-0200-00004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2" name="Text Box 681">
          <a:extLst>
            <a:ext uri="{FF2B5EF4-FFF2-40B4-BE49-F238E27FC236}">
              <a16:creationId xmlns:a16="http://schemas.microsoft.com/office/drawing/2014/main" id="{00000000-0008-0000-0200-00004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3" name="Text Box 682">
          <a:extLst>
            <a:ext uri="{FF2B5EF4-FFF2-40B4-BE49-F238E27FC236}">
              <a16:creationId xmlns:a16="http://schemas.microsoft.com/office/drawing/2014/main" id="{00000000-0008-0000-0200-00004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54" name="Text Box 683">
          <a:extLst>
            <a:ext uri="{FF2B5EF4-FFF2-40B4-BE49-F238E27FC236}">
              <a16:creationId xmlns:a16="http://schemas.microsoft.com/office/drawing/2014/main" id="{00000000-0008-0000-0200-00004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5" name="Text Box 684">
          <a:extLst>
            <a:ext uri="{FF2B5EF4-FFF2-40B4-BE49-F238E27FC236}">
              <a16:creationId xmlns:a16="http://schemas.microsoft.com/office/drawing/2014/main" id="{00000000-0008-0000-0200-00004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6" name="Text Box 685">
          <a:extLst>
            <a:ext uri="{FF2B5EF4-FFF2-40B4-BE49-F238E27FC236}">
              <a16:creationId xmlns:a16="http://schemas.microsoft.com/office/drawing/2014/main" id="{00000000-0008-0000-0200-00004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57" name="Text Box 686">
          <a:extLst>
            <a:ext uri="{FF2B5EF4-FFF2-40B4-BE49-F238E27FC236}">
              <a16:creationId xmlns:a16="http://schemas.microsoft.com/office/drawing/2014/main" id="{00000000-0008-0000-0200-00004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8" name="Text Box 687">
          <a:extLst>
            <a:ext uri="{FF2B5EF4-FFF2-40B4-BE49-F238E27FC236}">
              <a16:creationId xmlns:a16="http://schemas.microsoft.com/office/drawing/2014/main" id="{00000000-0008-0000-0200-00004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59" name="Text Box 688">
          <a:extLst>
            <a:ext uri="{FF2B5EF4-FFF2-40B4-BE49-F238E27FC236}">
              <a16:creationId xmlns:a16="http://schemas.microsoft.com/office/drawing/2014/main" id="{00000000-0008-0000-0200-00004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60" name="Text Box 689">
          <a:extLst>
            <a:ext uri="{FF2B5EF4-FFF2-40B4-BE49-F238E27FC236}">
              <a16:creationId xmlns:a16="http://schemas.microsoft.com/office/drawing/2014/main" id="{00000000-0008-0000-0200-00005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61" name="Text Box 690">
          <a:extLst>
            <a:ext uri="{FF2B5EF4-FFF2-40B4-BE49-F238E27FC236}">
              <a16:creationId xmlns:a16="http://schemas.microsoft.com/office/drawing/2014/main" id="{00000000-0008-0000-0200-000051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2" name="Text Box 691">
          <a:extLst>
            <a:ext uri="{FF2B5EF4-FFF2-40B4-BE49-F238E27FC236}">
              <a16:creationId xmlns:a16="http://schemas.microsoft.com/office/drawing/2014/main" id="{00000000-0008-0000-0200-00005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3" name="Text Box 692">
          <a:extLst>
            <a:ext uri="{FF2B5EF4-FFF2-40B4-BE49-F238E27FC236}">
              <a16:creationId xmlns:a16="http://schemas.microsoft.com/office/drawing/2014/main" id="{00000000-0008-0000-0200-00005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64" name="Text Box 693">
          <a:extLst>
            <a:ext uri="{FF2B5EF4-FFF2-40B4-BE49-F238E27FC236}">
              <a16:creationId xmlns:a16="http://schemas.microsoft.com/office/drawing/2014/main" id="{00000000-0008-0000-0200-00005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5" name="Text Box 694">
          <a:extLst>
            <a:ext uri="{FF2B5EF4-FFF2-40B4-BE49-F238E27FC236}">
              <a16:creationId xmlns:a16="http://schemas.microsoft.com/office/drawing/2014/main" id="{00000000-0008-0000-0200-00005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6" name="Text Box 695">
          <a:extLst>
            <a:ext uri="{FF2B5EF4-FFF2-40B4-BE49-F238E27FC236}">
              <a16:creationId xmlns:a16="http://schemas.microsoft.com/office/drawing/2014/main" id="{00000000-0008-0000-0200-00005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67" name="Text Box 696">
          <a:extLst>
            <a:ext uri="{FF2B5EF4-FFF2-40B4-BE49-F238E27FC236}">
              <a16:creationId xmlns:a16="http://schemas.microsoft.com/office/drawing/2014/main" id="{00000000-0008-0000-0200-00005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8" name="Text Box 697">
          <a:extLst>
            <a:ext uri="{FF2B5EF4-FFF2-40B4-BE49-F238E27FC236}">
              <a16:creationId xmlns:a16="http://schemas.microsoft.com/office/drawing/2014/main" id="{00000000-0008-0000-0200-00005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69" name="Text Box 698">
          <a:extLst>
            <a:ext uri="{FF2B5EF4-FFF2-40B4-BE49-F238E27FC236}">
              <a16:creationId xmlns:a16="http://schemas.microsoft.com/office/drawing/2014/main" id="{00000000-0008-0000-0200-00005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370" name="Text Box 699">
          <a:extLst>
            <a:ext uri="{FF2B5EF4-FFF2-40B4-BE49-F238E27FC236}">
              <a16:creationId xmlns:a16="http://schemas.microsoft.com/office/drawing/2014/main" id="{00000000-0008-0000-0200-00005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71" name="Text Box 700">
          <a:extLst>
            <a:ext uri="{FF2B5EF4-FFF2-40B4-BE49-F238E27FC236}">
              <a16:creationId xmlns:a16="http://schemas.microsoft.com/office/drawing/2014/main" id="{00000000-0008-0000-0200-00005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72" name="Text Box 701">
          <a:extLst>
            <a:ext uri="{FF2B5EF4-FFF2-40B4-BE49-F238E27FC236}">
              <a16:creationId xmlns:a16="http://schemas.microsoft.com/office/drawing/2014/main" id="{00000000-0008-0000-0200-00005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73" name="Text Box 702">
          <a:extLst>
            <a:ext uri="{FF2B5EF4-FFF2-40B4-BE49-F238E27FC236}">
              <a16:creationId xmlns:a16="http://schemas.microsoft.com/office/drawing/2014/main" id="{00000000-0008-0000-0200-00005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74" name="Text Box 703">
          <a:extLst>
            <a:ext uri="{FF2B5EF4-FFF2-40B4-BE49-F238E27FC236}">
              <a16:creationId xmlns:a16="http://schemas.microsoft.com/office/drawing/2014/main" id="{00000000-0008-0000-0200-00005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75" name="Text Box 704">
          <a:extLst>
            <a:ext uri="{FF2B5EF4-FFF2-40B4-BE49-F238E27FC236}">
              <a16:creationId xmlns:a16="http://schemas.microsoft.com/office/drawing/2014/main" id="{00000000-0008-0000-0200-00005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76" name="Text Box 705">
          <a:extLst>
            <a:ext uri="{FF2B5EF4-FFF2-40B4-BE49-F238E27FC236}">
              <a16:creationId xmlns:a16="http://schemas.microsoft.com/office/drawing/2014/main" id="{00000000-0008-0000-0200-00006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77" name="Text Box 706">
          <a:extLst>
            <a:ext uri="{FF2B5EF4-FFF2-40B4-BE49-F238E27FC236}">
              <a16:creationId xmlns:a16="http://schemas.microsoft.com/office/drawing/2014/main" id="{00000000-0008-0000-0200-00006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78" name="Text Box 707">
          <a:extLst>
            <a:ext uri="{FF2B5EF4-FFF2-40B4-BE49-F238E27FC236}">
              <a16:creationId xmlns:a16="http://schemas.microsoft.com/office/drawing/2014/main" id="{00000000-0008-0000-0200-00006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79" name="Text Box 708">
          <a:extLst>
            <a:ext uri="{FF2B5EF4-FFF2-40B4-BE49-F238E27FC236}">
              <a16:creationId xmlns:a16="http://schemas.microsoft.com/office/drawing/2014/main" id="{00000000-0008-0000-0200-00006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0" name="Text Box 709">
          <a:extLst>
            <a:ext uri="{FF2B5EF4-FFF2-40B4-BE49-F238E27FC236}">
              <a16:creationId xmlns:a16="http://schemas.microsoft.com/office/drawing/2014/main" id="{00000000-0008-0000-0200-00006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81" name="Text Box 710">
          <a:extLst>
            <a:ext uri="{FF2B5EF4-FFF2-40B4-BE49-F238E27FC236}">
              <a16:creationId xmlns:a16="http://schemas.microsoft.com/office/drawing/2014/main" id="{00000000-0008-0000-0200-00006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2" name="Text Box 711">
          <a:extLst>
            <a:ext uri="{FF2B5EF4-FFF2-40B4-BE49-F238E27FC236}">
              <a16:creationId xmlns:a16="http://schemas.microsoft.com/office/drawing/2014/main" id="{00000000-0008-0000-0200-00006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3" name="Text Box 712">
          <a:extLst>
            <a:ext uri="{FF2B5EF4-FFF2-40B4-BE49-F238E27FC236}">
              <a16:creationId xmlns:a16="http://schemas.microsoft.com/office/drawing/2014/main" id="{00000000-0008-0000-0200-00006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84" name="Text Box 713">
          <a:extLst>
            <a:ext uri="{FF2B5EF4-FFF2-40B4-BE49-F238E27FC236}">
              <a16:creationId xmlns:a16="http://schemas.microsoft.com/office/drawing/2014/main" id="{00000000-0008-0000-0200-000068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5" name="Text Box 714">
          <a:extLst>
            <a:ext uri="{FF2B5EF4-FFF2-40B4-BE49-F238E27FC236}">
              <a16:creationId xmlns:a16="http://schemas.microsoft.com/office/drawing/2014/main" id="{00000000-0008-0000-0200-00006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6" name="Text Box 715">
          <a:extLst>
            <a:ext uri="{FF2B5EF4-FFF2-40B4-BE49-F238E27FC236}">
              <a16:creationId xmlns:a16="http://schemas.microsoft.com/office/drawing/2014/main" id="{00000000-0008-0000-0200-00006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387" name="Text Box 716">
          <a:extLst>
            <a:ext uri="{FF2B5EF4-FFF2-40B4-BE49-F238E27FC236}">
              <a16:creationId xmlns:a16="http://schemas.microsoft.com/office/drawing/2014/main" id="{00000000-0008-0000-0200-00006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88" name="Text Box 717">
          <a:extLst>
            <a:ext uri="{FF2B5EF4-FFF2-40B4-BE49-F238E27FC236}">
              <a16:creationId xmlns:a16="http://schemas.microsoft.com/office/drawing/2014/main" id="{00000000-0008-0000-0200-00006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89" name="Text Box 718">
          <a:extLst>
            <a:ext uri="{FF2B5EF4-FFF2-40B4-BE49-F238E27FC236}">
              <a16:creationId xmlns:a16="http://schemas.microsoft.com/office/drawing/2014/main" id="{00000000-0008-0000-0200-00006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0" name="Text Box 719">
          <a:extLst>
            <a:ext uri="{FF2B5EF4-FFF2-40B4-BE49-F238E27FC236}">
              <a16:creationId xmlns:a16="http://schemas.microsoft.com/office/drawing/2014/main" id="{00000000-0008-0000-0200-00006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91" name="Text Box 720">
          <a:extLst>
            <a:ext uri="{FF2B5EF4-FFF2-40B4-BE49-F238E27FC236}">
              <a16:creationId xmlns:a16="http://schemas.microsoft.com/office/drawing/2014/main" id="{00000000-0008-0000-0200-00006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2" name="Text Box 721">
          <a:extLst>
            <a:ext uri="{FF2B5EF4-FFF2-40B4-BE49-F238E27FC236}">
              <a16:creationId xmlns:a16="http://schemas.microsoft.com/office/drawing/2014/main" id="{00000000-0008-0000-0200-00007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3" name="Text Box 722">
          <a:extLst>
            <a:ext uri="{FF2B5EF4-FFF2-40B4-BE49-F238E27FC236}">
              <a16:creationId xmlns:a16="http://schemas.microsoft.com/office/drawing/2014/main" id="{00000000-0008-0000-0200-00007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94" name="Text Box 723">
          <a:extLst>
            <a:ext uri="{FF2B5EF4-FFF2-40B4-BE49-F238E27FC236}">
              <a16:creationId xmlns:a16="http://schemas.microsoft.com/office/drawing/2014/main" id="{00000000-0008-0000-0200-000072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95" name="Text Box 724">
          <a:extLst>
            <a:ext uri="{FF2B5EF4-FFF2-40B4-BE49-F238E27FC236}">
              <a16:creationId xmlns:a16="http://schemas.microsoft.com/office/drawing/2014/main" id="{00000000-0008-0000-0200-00007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6" name="Text Box 725">
          <a:extLst>
            <a:ext uri="{FF2B5EF4-FFF2-40B4-BE49-F238E27FC236}">
              <a16:creationId xmlns:a16="http://schemas.microsoft.com/office/drawing/2014/main" id="{00000000-0008-0000-0200-00007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7" name="Text Box 726">
          <a:extLst>
            <a:ext uri="{FF2B5EF4-FFF2-40B4-BE49-F238E27FC236}">
              <a16:creationId xmlns:a16="http://schemas.microsoft.com/office/drawing/2014/main" id="{00000000-0008-0000-0200-00007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398" name="Text Box 727">
          <a:extLst>
            <a:ext uri="{FF2B5EF4-FFF2-40B4-BE49-F238E27FC236}">
              <a16:creationId xmlns:a16="http://schemas.microsoft.com/office/drawing/2014/main" id="{00000000-0008-0000-0200-00007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399" name="Text Box 728">
          <a:extLst>
            <a:ext uri="{FF2B5EF4-FFF2-40B4-BE49-F238E27FC236}">
              <a16:creationId xmlns:a16="http://schemas.microsoft.com/office/drawing/2014/main" id="{00000000-0008-0000-0200-00007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0" name="Text Box 729">
          <a:extLst>
            <a:ext uri="{FF2B5EF4-FFF2-40B4-BE49-F238E27FC236}">
              <a16:creationId xmlns:a16="http://schemas.microsoft.com/office/drawing/2014/main" id="{00000000-0008-0000-0200-00007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01" name="Text Box 730">
          <a:extLst>
            <a:ext uri="{FF2B5EF4-FFF2-40B4-BE49-F238E27FC236}">
              <a16:creationId xmlns:a16="http://schemas.microsoft.com/office/drawing/2014/main" id="{00000000-0008-0000-0200-00007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2" name="Text Box 731">
          <a:extLst>
            <a:ext uri="{FF2B5EF4-FFF2-40B4-BE49-F238E27FC236}">
              <a16:creationId xmlns:a16="http://schemas.microsoft.com/office/drawing/2014/main" id="{00000000-0008-0000-0200-00007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3" name="Text Box 732">
          <a:extLst>
            <a:ext uri="{FF2B5EF4-FFF2-40B4-BE49-F238E27FC236}">
              <a16:creationId xmlns:a16="http://schemas.microsoft.com/office/drawing/2014/main" id="{00000000-0008-0000-0200-00007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04" name="Text Box 733">
          <a:extLst>
            <a:ext uri="{FF2B5EF4-FFF2-40B4-BE49-F238E27FC236}">
              <a16:creationId xmlns:a16="http://schemas.microsoft.com/office/drawing/2014/main" id="{00000000-0008-0000-0200-00007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05" name="Text Box 734">
          <a:extLst>
            <a:ext uri="{FF2B5EF4-FFF2-40B4-BE49-F238E27FC236}">
              <a16:creationId xmlns:a16="http://schemas.microsoft.com/office/drawing/2014/main" id="{00000000-0008-0000-0200-00007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6" name="Text Box 735">
          <a:extLst>
            <a:ext uri="{FF2B5EF4-FFF2-40B4-BE49-F238E27FC236}">
              <a16:creationId xmlns:a16="http://schemas.microsoft.com/office/drawing/2014/main" id="{00000000-0008-0000-0200-00007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7" name="Text Box 736">
          <a:extLst>
            <a:ext uri="{FF2B5EF4-FFF2-40B4-BE49-F238E27FC236}">
              <a16:creationId xmlns:a16="http://schemas.microsoft.com/office/drawing/2014/main" id="{00000000-0008-0000-0200-00007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08" name="Text Box 737">
          <a:extLst>
            <a:ext uri="{FF2B5EF4-FFF2-40B4-BE49-F238E27FC236}">
              <a16:creationId xmlns:a16="http://schemas.microsoft.com/office/drawing/2014/main" id="{00000000-0008-0000-0200-00008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09" name="Text Box 738">
          <a:extLst>
            <a:ext uri="{FF2B5EF4-FFF2-40B4-BE49-F238E27FC236}">
              <a16:creationId xmlns:a16="http://schemas.microsoft.com/office/drawing/2014/main" id="{00000000-0008-0000-0200-00008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0" name="Text Box 739">
          <a:extLst>
            <a:ext uri="{FF2B5EF4-FFF2-40B4-BE49-F238E27FC236}">
              <a16:creationId xmlns:a16="http://schemas.microsoft.com/office/drawing/2014/main" id="{00000000-0008-0000-0200-00008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11" name="Text Box 740">
          <a:extLst>
            <a:ext uri="{FF2B5EF4-FFF2-40B4-BE49-F238E27FC236}">
              <a16:creationId xmlns:a16="http://schemas.microsoft.com/office/drawing/2014/main" id="{00000000-0008-0000-0200-00008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12" name="Text Box 741">
          <a:extLst>
            <a:ext uri="{FF2B5EF4-FFF2-40B4-BE49-F238E27FC236}">
              <a16:creationId xmlns:a16="http://schemas.microsoft.com/office/drawing/2014/main" id="{00000000-0008-0000-0200-00008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3" name="Text Box 742">
          <a:extLst>
            <a:ext uri="{FF2B5EF4-FFF2-40B4-BE49-F238E27FC236}">
              <a16:creationId xmlns:a16="http://schemas.microsoft.com/office/drawing/2014/main" id="{00000000-0008-0000-0200-00008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4" name="Text Box 743">
          <a:extLst>
            <a:ext uri="{FF2B5EF4-FFF2-40B4-BE49-F238E27FC236}">
              <a16:creationId xmlns:a16="http://schemas.microsoft.com/office/drawing/2014/main" id="{00000000-0008-0000-0200-00008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15" name="Text Box 744">
          <a:extLst>
            <a:ext uri="{FF2B5EF4-FFF2-40B4-BE49-F238E27FC236}">
              <a16:creationId xmlns:a16="http://schemas.microsoft.com/office/drawing/2014/main" id="{00000000-0008-0000-0200-00008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6" name="Text Box 745">
          <a:extLst>
            <a:ext uri="{FF2B5EF4-FFF2-40B4-BE49-F238E27FC236}">
              <a16:creationId xmlns:a16="http://schemas.microsoft.com/office/drawing/2014/main" id="{00000000-0008-0000-0200-00008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7" name="Text Box 746">
          <a:extLst>
            <a:ext uri="{FF2B5EF4-FFF2-40B4-BE49-F238E27FC236}">
              <a16:creationId xmlns:a16="http://schemas.microsoft.com/office/drawing/2014/main" id="{00000000-0008-0000-0200-00008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18" name="Text Box 747">
          <a:extLst>
            <a:ext uri="{FF2B5EF4-FFF2-40B4-BE49-F238E27FC236}">
              <a16:creationId xmlns:a16="http://schemas.microsoft.com/office/drawing/2014/main" id="{00000000-0008-0000-0200-00008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19" name="Text Box 748">
          <a:extLst>
            <a:ext uri="{FF2B5EF4-FFF2-40B4-BE49-F238E27FC236}">
              <a16:creationId xmlns:a16="http://schemas.microsoft.com/office/drawing/2014/main" id="{00000000-0008-0000-0200-00008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0" name="Text Box 749">
          <a:extLst>
            <a:ext uri="{FF2B5EF4-FFF2-40B4-BE49-F238E27FC236}">
              <a16:creationId xmlns:a16="http://schemas.microsoft.com/office/drawing/2014/main" id="{00000000-0008-0000-0200-00008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21" name="Text Box 750">
          <a:extLst>
            <a:ext uri="{FF2B5EF4-FFF2-40B4-BE49-F238E27FC236}">
              <a16:creationId xmlns:a16="http://schemas.microsoft.com/office/drawing/2014/main" id="{00000000-0008-0000-0200-00008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2" name="Text Box 751">
          <a:extLst>
            <a:ext uri="{FF2B5EF4-FFF2-40B4-BE49-F238E27FC236}">
              <a16:creationId xmlns:a16="http://schemas.microsoft.com/office/drawing/2014/main" id="{00000000-0008-0000-0200-00008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3" name="Text Box 752">
          <a:extLst>
            <a:ext uri="{FF2B5EF4-FFF2-40B4-BE49-F238E27FC236}">
              <a16:creationId xmlns:a16="http://schemas.microsoft.com/office/drawing/2014/main" id="{00000000-0008-0000-0200-00008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24" name="Text Box 753">
          <a:extLst>
            <a:ext uri="{FF2B5EF4-FFF2-40B4-BE49-F238E27FC236}">
              <a16:creationId xmlns:a16="http://schemas.microsoft.com/office/drawing/2014/main" id="{00000000-0008-0000-0200-00009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5" name="Text Box 754">
          <a:extLst>
            <a:ext uri="{FF2B5EF4-FFF2-40B4-BE49-F238E27FC236}">
              <a16:creationId xmlns:a16="http://schemas.microsoft.com/office/drawing/2014/main" id="{00000000-0008-0000-0200-00009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6" name="Text Box 755">
          <a:extLst>
            <a:ext uri="{FF2B5EF4-FFF2-40B4-BE49-F238E27FC236}">
              <a16:creationId xmlns:a16="http://schemas.microsoft.com/office/drawing/2014/main" id="{00000000-0008-0000-0200-00009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27" name="Text Box 756">
          <a:extLst>
            <a:ext uri="{FF2B5EF4-FFF2-40B4-BE49-F238E27FC236}">
              <a16:creationId xmlns:a16="http://schemas.microsoft.com/office/drawing/2014/main" id="{00000000-0008-0000-0200-00009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8" name="Text Box 757">
          <a:extLst>
            <a:ext uri="{FF2B5EF4-FFF2-40B4-BE49-F238E27FC236}">
              <a16:creationId xmlns:a16="http://schemas.microsoft.com/office/drawing/2014/main" id="{00000000-0008-0000-0200-00009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29" name="Text Box 758">
          <a:extLst>
            <a:ext uri="{FF2B5EF4-FFF2-40B4-BE49-F238E27FC236}">
              <a16:creationId xmlns:a16="http://schemas.microsoft.com/office/drawing/2014/main" id="{00000000-0008-0000-0200-00009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30" name="Text Box 759">
          <a:extLst>
            <a:ext uri="{FF2B5EF4-FFF2-40B4-BE49-F238E27FC236}">
              <a16:creationId xmlns:a16="http://schemas.microsoft.com/office/drawing/2014/main" id="{00000000-0008-0000-0200-00009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31" name="Text Box 760">
          <a:extLst>
            <a:ext uri="{FF2B5EF4-FFF2-40B4-BE49-F238E27FC236}">
              <a16:creationId xmlns:a16="http://schemas.microsoft.com/office/drawing/2014/main" id="{00000000-0008-0000-0200-00009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2" name="Text Box 761">
          <a:extLst>
            <a:ext uri="{FF2B5EF4-FFF2-40B4-BE49-F238E27FC236}">
              <a16:creationId xmlns:a16="http://schemas.microsoft.com/office/drawing/2014/main" id="{00000000-0008-0000-0200-00009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3" name="Text Box 762">
          <a:extLst>
            <a:ext uri="{FF2B5EF4-FFF2-40B4-BE49-F238E27FC236}">
              <a16:creationId xmlns:a16="http://schemas.microsoft.com/office/drawing/2014/main" id="{00000000-0008-0000-0200-00009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34" name="Text Box 763">
          <a:extLst>
            <a:ext uri="{FF2B5EF4-FFF2-40B4-BE49-F238E27FC236}">
              <a16:creationId xmlns:a16="http://schemas.microsoft.com/office/drawing/2014/main" id="{00000000-0008-0000-0200-00009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5" name="Text Box 764">
          <a:extLst>
            <a:ext uri="{FF2B5EF4-FFF2-40B4-BE49-F238E27FC236}">
              <a16:creationId xmlns:a16="http://schemas.microsoft.com/office/drawing/2014/main" id="{00000000-0008-0000-0200-00009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6" name="Text Box 765">
          <a:extLst>
            <a:ext uri="{FF2B5EF4-FFF2-40B4-BE49-F238E27FC236}">
              <a16:creationId xmlns:a16="http://schemas.microsoft.com/office/drawing/2014/main" id="{00000000-0008-0000-0200-00009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37" name="Text Box 766">
          <a:extLst>
            <a:ext uri="{FF2B5EF4-FFF2-40B4-BE49-F238E27FC236}">
              <a16:creationId xmlns:a16="http://schemas.microsoft.com/office/drawing/2014/main" id="{00000000-0008-0000-0200-00009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8" name="Text Box 767">
          <a:extLst>
            <a:ext uri="{FF2B5EF4-FFF2-40B4-BE49-F238E27FC236}">
              <a16:creationId xmlns:a16="http://schemas.microsoft.com/office/drawing/2014/main" id="{00000000-0008-0000-0200-00009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39" name="Text Box 768">
          <a:extLst>
            <a:ext uri="{FF2B5EF4-FFF2-40B4-BE49-F238E27FC236}">
              <a16:creationId xmlns:a16="http://schemas.microsoft.com/office/drawing/2014/main" id="{00000000-0008-0000-0200-00009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40" name="Text Box 769">
          <a:extLst>
            <a:ext uri="{FF2B5EF4-FFF2-40B4-BE49-F238E27FC236}">
              <a16:creationId xmlns:a16="http://schemas.microsoft.com/office/drawing/2014/main" id="{00000000-0008-0000-0200-0000A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1" name="Text Box 770">
          <a:extLst>
            <a:ext uri="{FF2B5EF4-FFF2-40B4-BE49-F238E27FC236}">
              <a16:creationId xmlns:a16="http://schemas.microsoft.com/office/drawing/2014/main" id="{00000000-0008-0000-0200-0000A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2" name="Text Box 771">
          <a:extLst>
            <a:ext uri="{FF2B5EF4-FFF2-40B4-BE49-F238E27FC236}">
              <a16:creationId xmlns:a16="http://schemas.microsoft.com/office/drawing/2014/main" id="{00000000-0008-0000-0200-0000A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43" name="Text Box 772">
          <a:extLst>
            <a:ext uri="{FF2B5EF4-FFF2-40B4-BE49-F238E27FC236}">
              <a16:creationId xmlns:a16="http://schemas.microsoft.com/office/drawing/2014/main" id="{00000000-0008-0000-0200-0000A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4" name="Text Box 773">
          <a:extLst>
            <a:ext uri="{FF2B5EF4-FFF2-40B4-BE49-F238E27FC236}">
              <a16:creationId xmlns:a16="http://schemas.microsoft.com/office/drawing/2014/main" id="{00000000-0008-0000-0200-0000A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5" name="Text Box 774">
          <a:extLst>
            <a:ext uri="{FF2B5EF4-FFF2-40B4-BE49-F238E27FC236}">
              <a16:creationId xmlns:a16="http://schemas.microsoft.com/office/drawing/2014/main" id="{00000000-0008-0000-0200-0000A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46" name="Text Box 775">
          <a:extLst>
            <a:ext uri="{FF2B5EF4-FFF2-40B4-BE49-F238E27FC236}">
              <a16:creationId xmlns:a16="http://schemas.microsoft.com/office/drawing/2014/main" id="{00000000-0008-0000-0200-0000A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7" name="Text Box 776">
          <a:extLst>
            <a:ext uri="{FF2B5EF4-FFF2-40B4-BE49-F238E27FC236}">
              <a16:creationId xmlns:a16="http://schemas.microsoft.com/office/drawing/2014/main" id="{00000000-0008-0000-0200-0000A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48" name="Text Box 777">
          <a:extLst>
            <a:ext uri="{FF2B5EF4-FFF2-40B4-BE49-F238E27FC236}">
              <a16:creationId xmlns:a16="http://schemas.microsoft.com/office/drawing/2014/main" id="{00000000-0008-0000-0200-0000A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49" name="Text Box 778">
          <a:extLst>
            <a:ext uri="{FF2B5EF4-FFF2-40B4-BE49-F238E27FC236}">
              <a16:creationId xmlns:a16="http://schemas.microsoft.com/office/drawing/2014/main" id="{00000000-0008-0000-0200-0000A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50" name="Text Box 779">
          <a:extLst>
            <a:ext uri="{FF2B5EF4-FFF2-40B4-BE49-F238E27FC236}">
              <a16:creationId xmlns:a16="http://schemas.microsoft.com/office/drawing/2014/main" id="{00000000-0008-0000-0200-0000A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1" name="Text Box 780">
          <a:extLst>
            <a:ext uri="{FF2B5EF4-FFF2-40B4-BE49-F238E27FC236}">
              <a16:creationId xmlns:a16="http://schemas.microsoft.com/office/drawing/2014/main" id="{00000000-0008-0000-0200-0000A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2" name="Text Box 781">
          <a:extLst>
            <a:ext uri="{FF2B5EF4-FFF2-40B4-BE49-F238E27FC236}">
              <a16:creationId xmlns:a16="http://schemas.microsoft.com/office/drawing/2014/main" id="{00000000-0008-0000-0200-0000A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53" name="Text Box 782">
          <a:extLst>
            <a:ext uri="{FF2B5EF4-FFF2-40B4-BE49-F238E27FC236}">
              <a16:creationId xmlns:a16="http://schemas.microsoft.com/office/drawing/2014/main" id="{00000000-0008-0000-0200-0000A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4" name="Text Box 783">
          <a:extLst>
            <a:ext uri="{FF2B5EF4-FFF2-40B4-BE49-F238E27FC236}">
              <a16:creationId xmlns:a16="http://schemas.microsoft.com/office/drawing/2014/main" id="{00000000-0008-0000-0200-0000A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5" name="Text Box 784">
          <a:extLst>
            <a:ext uri="{FF2B5EF4-FFF2-40B4-BE49-F238E27FC236}">
              <a16:creationId xmlns:a16="http://schemas.microsoft.com/office/drawing/2014/main" id="{00000000-0008-0000-0200-0000A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56" name="Text Box 785">
          <a:extLst>
            <a:ext uri="{FF2B5EF4-FFF2-40B4-BE49-F238E27FC236}">
              <a16:creationId xmlns:a16="http://schemas.microsoft.com/office/drawing/2014/main" id="{00000000-0008-0000-0200-0000B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7" name="Text Box 786">
          <a:extLst>
            <a:ext uri="{FF2B5EF4-FFF2-40B4-BE49-F238E27FC236}">
              <a16:creationId xmlns:a16="http://schemas.microsoft.com/office/drawing/2014/main" id="{00000000-0008-0000-0200-0000B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58" name="Text Box 787">
          <a:extLst>
            <a:ext uri="{FF2B5EF4-FFF2-40B4-BE49-F238E27FC236}">
              <a16:creationId xmlns:a16="http://schemas.microsoft.com/office/drawing/2014/main" id="{00000000-0008-0000-0200-0000B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59" name="Text Box 788">
          <a:extLst>
            <a:ext uri="{FF2B5EF4-FFF2-40B4-BE49-F238E27FC236}">
              <a16:creationId xmlns:a16="http://schemas.microsoft.com/office/drawing/2014/main" id="{00000000-0008-0000-0200-0000B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0" name="Text Box 789">
          <a:extLst>
            <a:ext uri="{FF2B5EF4-FFF2-40B4-BE49-F238E27FC236}">
              <a16:creationId xmlns:a16="http://schemas.microsoft.com/office/drawing/2014/main" id="{00000000-0008-0000-0200-0000B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1" name="Text Box 790">
          <a:extLst>
            <a:ext uri="{FF2B5EF4-FFF2-40B4-BE49-F238E27FC236}">
              <a16:creationId xmlns:a16="http://schemas.microsoft.com/office/drawing/2014/main" id="{00000000-0008-0000-0200-0000B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62" name="Text Box 791">
          <a:extLst>
            <a:ext uri="{FF2B5EF4-FFF2-40B4-BE49-F238E27FC236}">
              <a16:creationId xmlns:a16="http://schemas.microsoft.com/office/drawing/2014/main" id="{00000000-0008-0000-0200-0000B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3" name="Text Box 792">
          <a:extLst>
            <a:ext uri="{FF2B5EF4-FFF2-40B4-BE49-F238E27FC236}">
              <a16:creationId xmlns:a16="http://schemas.microsoft.com/office/drawing/2014/main" id="{00000000-0008-0000-0200-0000B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4" name="Text Box 793">
          <a:extLst>
            <a:ext uri="{FF2B5EF4-FFF2-40B4-BE49-F238E27FC236}">
              <a16:creationId xmlns:a16="http://schemas.microsoft.com/office/drawing/2014/main" id="{00000000-0008-0000-0200-0000B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65" name="Text Box 794">
          <a:extLst>
            <a:ext uri="{FF2B5EF4-FFF2-40B4-BE49-F238E27FC236}">
              <a16:creationId xmlns:a16="http://schemas.microsoft.com/office/drawing/2014/main" id="{00000000-0008-0000-0200-0000B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6" name="Text Box 795">
          <a:extLst>
            <a:ext uri="{FF2B5EF4-FFF2-40B4-BE49-F238E27FC236}">
              <a16:creationId xmlns:a16="http://schemas.microsoft.com/office/drawing/2014/main" id="{00000000-0008-0000-0200-0000B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67" name="Text Box 796">
          <a:extLst>
            <a:ext uri="{FF2B5EF4-FFF2-40B4-BE49-F238E27FC236}">
              <a16:creationId xmlns:a16="http://schemas.microsoft.com/office/drawing/2014/main" id="{00000000-0008-0000-0200-0000B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68" name="Text Box 797">
          <a:extLst>
            <a:ext uri="{FF2B5EF4-FFF2-40B4-BE49-F238E27FC236}">
              <a16:creationId xmlns:a16="http://schemas.microsoft.com/office/drawing/2014/main" id="{00000000-0008-0000-0200-0000B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69" name="Text Box 798">
          <a:extLst>
            <a:ext uri="{FF2B5EF4-FFF2-40B4-BE49-F238E27FC236}">
              <a16:creationId xmlns:a16="http://schemas.microsoft.com/office/drawing/2014/main" id="{00000000-0008-0000-0200-0000B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0" name="Text Box 799">
          <a:extLst>
            <a:ext uri="{FF2B5EF4-FFF2-40B4-BE49-F238E27FC236}">
              <a16:creationId xmlns:a16="http://schemas.microsoft.com/office/drawing/2014/main" id="{00000000-0008-0000-0200-0000B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1" name="Text Box 800">
          <a:extLst>
            <a:ext uri="{FF2B5EF4-FFF2-40B4-BE49-F238E27FC236}">
              <a16:creationId xmlns:a16="http://schemas.microsoft.com/office/drawing/2014/main" id="{00000000-0008-0000-0200-0000B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72" name="Text Box 801">
          <a:extLst>
            <a:ext uri="{FF2B5EF4-FFF2-40B4-BE49-F238E27FC236}">
              <a16:creationId xmlns:a16="http://schemas.microsoft.com/office/drawing/2014/main" id="{00000000-0008-0000-0200-0000C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3" name="Text Box 802">
          <a:extLst>
            <a:ext uri="{FF2B5EF4-FFF2-40B4-BE49-F238E27FC236}">
              <a16:creationId xmlns:a16="http://schemas.microsoft.com/office/drawing/2014/main" id="{00000000-0008-0000-0200-0000C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4" name="Text Box 803">
          <a:extLst>
            <a:ext uri="{FF2B5EF4-FFF2-40B4-BE49-F238E27FC236}">
              <a16:creationId xmlns:a16="http://schemas.microsoft.com/office/drawing/2014/main" id="{00000000-0008-0000-0200-0000C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75" name="Text Box 804">
          <a:extLst>
            <a:ext uri="{FF2B5EF4-FFF2-40B4-BE49-F238E27FC236}">
              <a16:creationId xmlns:a16="http://schemas.microsoft.com/office/drawing/2014/main" id="{00000000-0008-0000-0200-0000C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6" name="Text Box 805">
          <a:extLst>
            <a:ext uri="{FF2B5EF4-FFF2-40B4-BE49-F238E27FC236}">
              <a16:creationId xmlns:a16="http://schemas.microsoft.com/office/drawing/2014/main" id="{00000000-0008-0000-0200-0000C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7" name="Text Box 806">
          <a:extLst>
            <a:ext uri="{FF2B5EF4-FFF2-40B4-BE49-F238E27FC236}">
              <a16:creationId xmlns:a16="http://schemas.microsoft.com/office/drawing/2014/main" id="{00000000-0008-0000-0200-0000C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478" name="Text Box 807">
          <a:extLst>
            <a:ext uri="{FF2B5EF4-FFF2-40B4-BE49-F238E27FC236}">
              <a16:creationId xmlns:a16="http://schemas.microsoft.com/office/drawing/2014/main" id="{00000000-0008-0000-0200-0000C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79" name="Text Box 808">
          <a:extLst>
            <a:ext uri="{FF2B5EF4-FFF2-40B4-BE49-F238E27FC236}">
              <a16:creationId xmlns:a16="http://schemas.microsoft.com/office/drawing/2014/main" id="{00000000-0008-0000-0200-0000C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0" name="Text Box 809">
          <a:extLst>
            <a:ext uri="{FF2B5EF4-FFF2-40B4-BE49-F238E27FC236}">
              <a16:creationId xmlns:a16="http://schemas.microsoft.com/office/drawing/2014/main" id="{00000000-0008-0000-0200-0000C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81" name="Text Box 810">
          <a:extLst>
            <a:ext uri="{FF2B5EF4-FFF2-40B4-BE49-F238E27FC236}">
              <a16:creationId xmlns:a16="http://schemas.microsoft.com/office/drawing/2014/main" id="{00000000-0008-0000-0200-0000C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2" name="Text Box 811">
          <a:extLst>
            <a:ext uri="{FF2B5EF4-FFF2-40B4-BE49-F238E27FC236}">
              <a16:creationId xmlns:a16="http://schemas.microsoft.com/office/drawing/2014/main" id="{00000000-0008-0000-0200-0000C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3" name="Text Box 812">
          <a:extLst>
            <a:ext uri="{FF2B5EF4-FFF2-40B4-BE49-F238E27FC236}">
              <a16:creationId xmlns:a16="http://schemas.microsoft.com/office/drawing/2014/main" id="{00000000-0008-0000-0200-0000C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84" name="Text Box 813">
          <a:extLst>
            <a:ext uri="{FF2B5EF4-FFF2-40B4-BE49-F238E27FC236}">
              <a16:creationId xmlns:a16="http://schemas.microsoft.com/office/drawing/2014/main" id="{00000000-0008-0000-0200-0000C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5" name="Text Box 814">
          <a:extLst>
            <a:ext uri="{FF2B5EF4-FFF2-40B4-BE49-F238E27FC236}">
              <a16:creationId xmlns:a16="http://schemas.microsoft.com/office/drawing/2014/main" id="{00000000-0008-0000-0200-0000C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6" name="Text Box 815">
          <a:extLst>
            <a:ext uri="{FF2B5EF4-FFF2-40B4-BE49-F238E27FC236}">
              <a16:creationId xmlns:a16="http://schemas.microsoft.com/office/drawing/2014/main" id="{00000000-0008-0000-0200-0000C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87" name="Text Box 816">
          <a:extLst>
            <a:ext uri="{FF2B5EF4-FFF2-40B4-BE49-F238E27FC236}">
              <a16:creationId xmlns:a16="http://schemas.microsoft.com/office/drawing/2014/main" id="{00000000-0008-0000-0200-0000C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88" name="Text Box 817">
          <a:extLst>
            <a:ext uri="{FF2B5EF4-FFF2-40B4-BE49-F238E27FC236}">
              <a16:creationId xmlns:a16="http://schemas.microsoft.com/office/drawing/2014/main" id="{00000000-0008-0000-0200-0000D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89" name="Text Box 818">
          <a:extLst>
            <a:ext uri="{FF2B5EF4-FFF2-40B4-BE49-F238E27FC236}">
              <a16:creationId xmlns:a16="http://schemas.microsoft.com/office/drawing/2014/main" id="{00000000-0008-0000-0200-0000D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0" name="Text Box 819">
          <a:extLst>
            <a:ext uri="{FF2B5EF4-FFF2-40B4-BE49-F238E27FC236}">
              <a16:creationId xmlns:a16="http://schemas.microsoft.com/office/drawing/2014/main" id="{00000000-0008-0000-0200-0000D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91" name="Text Box 820">
          <a:extLst>
            <a:ext uri="{FF2B5EF4-FFF2-40B4-BE49-F238E27FC236}">
              <a16:creationId xmlns:a16="http://schemas.microsoft.com/office/drawing/2014/main" id="{00000000-0008-0000-0200-0000D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2" name="Text Box 821">
          <a:extLst>
            <a:ext uri="{FF2B5EF4-FFF2-40B4-BE49-F238E27FC236}">
              <a16:creationId xmlns:a16="http://schemas.microsoft.com/office/drawing/2014/main" id="{00000000-0008-0000-0200-0000D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3" name="Text Box 822">
          <a:extLst>
            <a:ext uri="{FF2B5EF4-FFF2-40B4-BE49-F238E27FC236}">
              <a16:creationId xmlns:a16="http://schemas.microsoft.com/office/drawing/2014/main" id="{00000000-0008-0000-0200-0000D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94" name="Text Box 823">
          <a:extLst>
            <a:ext uri="{FF2B5EF4-FFF2-40B4-BE49-F238E27FC236}">
              <a16:creationId xmlns:a16="http://schemas.microsoft.com/office/drawing/2014/main" id="{00000000-0008-0000-0200-0000D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5" name="Text Box 824">
          <a:extLst>
            <a:ext uri="{FF2B5EF4-FFF2-40B4-BE49-F238E27FC236}">
              <a16:creationId xmlns:a16="http://schemas.microsoft.com/office/drawing/2014/main" id="{00000000-0008-0000-0200-0000D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6" name="Text Box 825">
          <a:extLst>
            <a:ext uri="{FF2B5EF4-FFF2-40B4-BE49-F238E27FC236}">
              <a16:creationId xmlns:a16="http://schemas.microsoft.com/office/drawing/2014/main" id="{00000000-0008-0000-0200-0000D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497" name="Text Box 826">
          <a:extLst>
            <a:ext uri="{FF2B5EF4-FFF2-40B4-BE49-F238E27FC236}">
              <a16:creationId xmlns:a16="http://schemas.microsoft.com/office/drawing/2014/main" id="{00000000-0008-0000-0200-0000D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8" name="Text Box 827">
          <a:extLst>
            <a:ext uri="{FF2B5EF4-FFF2-40B4-BE49-F238E27FC236}">
              <a16:creationId xmlns:a16="http://schemas.microsoft.com/office/drawing/2014/main" id="{00000000-0008-0000-0200-0000D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499" name="Text Box 828">
          <a:extLst>
            <a:ext uri="{FF2B5EF4-FFF2-40B4-BE49-F238E27FC236}">
              <a16:creationId xmlns:a16="http://schemas.microsoft.com/office/drawing/2014/main" id="{00000000-0008-0000-0200-0000D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00" name="Text Box 829">
          <a:extLst>
            <a:ext uri="{FF2B5EF4-FFF2-40B4-BE49-F238E27FC236}">
              <a16:creationId xmlns:a16="http://schemas.microsoft.com/office/drawing/2014/main" id="{00000000-0008-0000-0200-0000D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1" name="Text Box 830">
          <a:extLst>
            <a:ext uri="{FF2B5EF4-FFF2-40B4-BE49-F238E27FC236}">
              <a16:creationId xmlns:a16="http://schemas.microsoft.com/office/drawing/2014/main" id="{00000000-0008-0000-0200-0000D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2" name="Text Box 831">
          <a:extLst>
            <a:ext uri="{FF2B5EF4-FFF2-40B4-BE49-F238E27FC236}">
              <a16:creationId xmlns:a16="http://schemas.microsoft.com/office/drawing/2014/main" id="{00000000-0008-0000-0200-0000D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03" name="Text Box 832">
          <a:extLst>
            <a:ext uri="{FF2B5EF4-FFF2-40B4-BE49-F238E27FC236}">
              <a16:creationId xmlns:a16="http://schemas.microsoft.com/office/drawing/2014/main" id="{00000000-0008-0000-0200-0000DF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4" name="Text Box 833">
          <a:extLst>
            <a:ext uri="{FF2B5EF4-FFF2-40B4-BE49-F238E27FC236}">
              <a16:creationId xmlns:a16="http://schemas.microsoft.com/office/drawing/2014/main" id="{00000000-0008-0000-0200-0000E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5" name="Text Box 834">
          <a:extLst>
            <a:ext uri="{FF2B5EF4-FFF2-40B4-BE49-F238E27FC236}">
              <a16:creationId xmlns:a16="http://schemas.microsoft.com/office/drawing/2014/main" id="{00000000-0008-0000-0200-0000E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06" name="Text Box 835">
          <a:extLst>
            <a:ext uri="{FF2B5EF4-FFF2-40B4-BE49-F238E27FC236}">
              <a16:creationId xmlns:a16="http://schemas.microsoft.com/office/drawing/2014/main" id="{00000000-0008-0000-0200-0000E2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07" name="Text Box 836">
          <a:extLst>
            <a:ext uri="{FF2B5EF4-FFF2-40B4-BE49-F238E27FC236}">
              <a16:creationId xmlns:a16="http://schemas.microsoft.com/office/drawing/2014/main" id="{00000000-0008-0000-0200-0000E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8" name="Text Box 837">
          <a:extLst>
            <a:ext uri="{FF2B5EF4-FFF2-40B4-BE49-F238E27FC236}">
              <a16:creationId xmlns:a16="http://schemas.microsoft.com/office/drawing/2014/main" id="{00000000-0008-0000-0200-0000E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09" name="Text Box 838">
          <a:extLst>
            <a:ext uri="{FF2B5EF4-FFF2-40B4-BE49-F238E27FC236}">
              <a16:creationId xmlns:a16="http://schemas.microsoft.com/office/drawing/2014/main" id="{00000000-0008-0000-0200-0000E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10" name="Text Box 839">
          <a:extLst>
            <a:ext uri="{FF2B5EF4-FFF2-40B4-BE49-F238E27FC236}">
              <a16:creationId xmlns:a16="http://schemas.microsoft.com/office/drawing/2014/main" id="{00000000-0008-0000-0200-0000E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1" name="Text Box 840">
          <a:extLst>
            <a:ext uri="{FF2B5EF4-FFF2-40B4-BE49-F238E27FC236}">
              <a16:creationId xmlns:a16="http://schemas.microsoft.com/office/drawing/2014/main" id="{00000000-0008-0000-0200-0000E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2" name="Text Box 841">
          <a:extLst>
            <a:ext uri="{FF2B5EF4-FFF2-40B4-BE49-F238E27FC236}">
              <a16:creationId xmlns:a16="http://schemas.microsoft.com/office/drawing/2014/main" id="{00000000-0008-0000-0200-0000E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13" name="Text Box 842">
          <a:extLst>
            <a:ext uri="{FF2B5EF4-FFF2-40B4-BE49-F238E27FC236}">
              <a16:creationId xmlns:a16="http://schemas.microsoft.com/office/drawing/2014/main" id="{00000000-0008-0000-0200-0000E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4" name="Text Box 843">
          <a:extLst>
            <a:ext uri="{FF2B5EF4-FFF2-40B4-BE49-F238E27FC236}">
              <a16:creationId xmlns:a16="http://schemas.microsoft.com/office/drawing/2014/main" id="{00000000-0008-0000-0200-0000E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5" name="Text Box 844">
          <a:extLst>
            <a:ext uri="{FF2B5EF4-FFF2-40B4-BE49-F238E27FC236}">
              <a16:creationId xmlns:a16="http://schemas.microsoft.com/office/drawing/2014/main" id="{00000000-0008-0000-0200-0000E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16" name="Text Box 845">
          <a:extLst>
            <a:ext uri="{FF2B5EF4-FFF2-40B4-BE49-F238E27FC236}">
              <a16:creationId xmlns:a16="http://schemas.microsoft.com/office/drawing/2014/main" id="{00000000-0008-0000-0200-0000E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7" name="Text Box 846">
          <a:extLst>
            <a:ext uri="{FF2B5EF4-FFF2-40B4-BE49-F238E27FC236}">
              <a16:creationId xmlns:a16="http://schemas.microsoft.com/office/drawing/2014/main" id="{00000000-0008-0000-0200-0000E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18" name="Text Box 847">
          <a:extLst>
            <a:ext uri="{FF2B5EF4-FFF2-40B4-BE49-F238E27FC236}">
              <a16:creationId xmlns:a16="http://schemas.microsoft.com/office/drawing/2014/main" id="{00000000-0008-0000-0200-0000E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19" name="Text Box 848">
          <a:extLst>
            <a:ext uri="{FF2B5EF4-FFF2-40B4-BE49-F238E27FC236}">
              <a16:creationId xmlns:a16="http://schemas.microsoft.com/office/drawing/2014/main" id="{00000000-0008-0000-0200-0000E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0" name="Text Box 849">
          <a:extLst>
            <a:ext uri="{FF2B5EF4-FFF2-40B4-BE49-F238E27FC236}">
              <a16:creationId xmlns:a16="http://schemas.microsoft.com/office/drawing/2014/main" id="{00000000-0008-0000-0200-0000F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1" name="Text Box 850">
          <a:extLst>
            <a:ext uri="{FF2B5EF4-FFF2-40B4-BE49-F238E27FC236}">
              <a16:creationId xmlns:a16="http://schemas.microsoft.com/office/drawing/2014/main" id="{00000000-0008-0000-0200-0000F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22" name="Text Box 851">
          <a:extLst>
            <a:ext uri="{FF2B5EF4-FFF2-40B4-BE49-F238E27FC236}">
              <a16:creationId xmlns:a16="http://schemas.microsoft.com/office/drawing/2014/main" id="{00000000-0008-0000-0200-0000F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3" name="Text Box 852">
          <a:extLst>
            <a:ext uri="{FF2B5EF4-FFF2-40B4-BE49-F238E27FC236}">
              <a16:creationId xmlns:a16="http://schemas.microsoft.com/office/drawing/2014/main" id="{00000000-0008-0000-0200-0000F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4" name="Text Box 853">
          <a:extLst>
            <a:ext uri="{FF2B5EF4-FFF2-40B4-BE49-F238E27FC236}">
              <a16:creationId xmlns:a16="http://schemas.microsoft.com/office/drawing/2014/main" id="{00000000-0008-0000-0200-0000F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25" name="Text Box 854">
          <a:extLst>
            <a:ext uri="{FF2B5EF4-FFF2-40B4-BE49-F238E27FC236}">
              <a16:creationId xmlns:a16="http://schemas.microsoft.com/office/drawing/2014/main" id="{00000000-0008-0000-0200-0000F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26" name="Text Box 855">
          <a:extLst>
            <a:ext uri="{FF2B5EF4-FFF2-40B4-BE49-F238E27FC236}">
              <a16:creationId xmlns:a16="http://schemas.microsoft.com/office/drawing/2014/main" id="{00000000-0008-0000-0200-0000F6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7" name="Text Box 856">
          <a:extLst>
            <a:ext uri="{FF2B5EF4-FFF2-40B4-BE49-F238E27FC236}">
              <a16:creationId xmlns:a16="http://schemas.microsoft.com/office/drawing/2014/main" id="{00000000-0008-0000-0200-0000F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28" name="Text Box 857">
          <a:extLst>
            <a:ext uri="{FF2B5EF4-FFF2-40B4-BE49-F238E27FC236}">
              <a16:creationId xmlns:a16="http://schemas.microsoft.com/office/drawing/2014/main" id="{00000000-0008-0000-0200-0000F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29" name="Text Box 858">
          <a:extLst>
            <a:ext uri="{FF2B5EF4-FFF2-40B4-BE49-F238E27FC236}">
              <a16:creationId xmlns:a16="http://schemas.microsoft.com/office/drawing/2014/main" id="{00000000-0008-0000-0200-0000F9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0" name="Text Box 859">
          <a:extLst>
            <a:ext uri="{FF2B5EF4-FFF2-40B4-BE49-F238E27FC236}">
              <a16:creationId xmlns:a16="http://schemas.microsoft.com/office/drawing/2014/main" id="{00000000-0008-0000-0200-0000F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1" name="Text Box 860">
          <a:extLst>
            <a:ext uri="{FF2B5EF4-FFF2-40B4-BE49-F238E27FC236}">
              <a16:creationId xmlns:a16="http://schemas.microsoft.com/office/drawing/2014/main" id="{00000000-0008-0000-0200-0000F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32" name="Text Box 861">
          <a:extLst>
            <a:ext uri="{FF2B5EF4-FFF2-40B4-BE49-F238E27FC236}">
              <a16:creationId xmlns:a16="http://schemas.microsoft.com/office/drawing/2014/main" id="{00000000-0008-0000-0200-0000FC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3" name="Text Box 862">
          <a:extLst>
            <a:ext uri="{FF2B5EF4-FFF2-40B4-BE49-F238E27FC236}">
              <a16:creationId xmlns:a16="http://schemas.microsoft.com/office/drawing/2014/main" id="{00000000-0008-0000-0200-0000F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4" name="Text Box 863">
          <a:extLst>
            <a:ext uri="{FF2B5EF4-FFF2-40B4-BE49-F238E27FC236}">
              <a16:creationId xmlns:a16="http://schemas.microsoft.com/office/drawing/2014/main" id="{00000000-0008-0000-0200-0000F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35" name="Text Box 864">
          <a:extLst>
            <a:ext uri="{FF2B5EF4-FFF2-40B4-BE49-F238E27FC236}">
              <a16:creationId xmlns:a16="http://schemas.microsoft.com/office/drawing/2014/main" id="{00000000-0008-0000-0200-0000F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6" name="Text Box 865">
          <a:extLst>
            <a:ext uri="{FF2B5EF4-FFF2-40B4-BE49-F238E27FC236}">
              <a16:creationId xmlns:a16="http://schemas.microsoft.com/office/drawing/2014/main" id="{00000000-0008-0000-0200-000000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7" name="Text Box 866">
          <a:extLst>
            <a:ext uri="{FF2B5EF4-FFF2-40B4-BE49-F238E27FC236}">
              <a16:creationId xmlns:a16="http://schemas.microsoft.com/office/drawing/2014/main" id="{00000000-0008-0000-0200-000001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38" name="Text Box 867">
          <a:extLst>
            <a:ext uri="{FF2B5EF4-FFF2-40B4-BE49-F238E27FC236}">
              <a16:creationId xmlns:a16="http://schemas.microsoft.com/office/drawing/2014/main" id="{00000000-0008-0000-0200-00000206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39" name="Text Box 868">
          <a:extLst>
            <a:ext uri="{FF2B5EF4-FFF2-40B4-BE49-F238E27FC236}">
              <a16:creationId xmlns:a16="http://schemas.microsoft.com/office/drawing/2014/main" id="{00000000-0008-0000-0200-000003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40" name="Text Box 869">
          <a:extLst>
            <a:ext uri="{FF2B5EF4-FFF2-40B4-BE49-F238E27FC236}">
              <a16:creationId xmlns:a16="http://schemas.microsoft.com/office/drawing/2014/main" id="{00000000-0008-0000-0200-000004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41" name="Text Box 870">
          <a:extLst>
            <a:ext uri="{FF2B5EF4-FFF2-40B4-BE49-F238E27FC236}">
              <a16:creationId xmlns:a16="http://schemas.microsoft.com/office/drawing/2014/main" id="{00000000-0008-0000-0200-000005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42" name="Text Box 101">
          <a:extLst>
            <a:ext uri="{FF2B5EF4-FFF2-40B4-BE49-F238E27FC236}">
              <a16:creationId xmlns:a16="http://schemas.microsoft.com/office/drawing/2014/main" id="{00000000-0008-0000-0200-00000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43" name="Text Box 102">
          <a:extLst>
            <a:ext uri="{FF2B5EF4-FFF2-40B4-BE49-F238E27FC236}">
              <a16:creationId xmlns:a16="http://schemas.microsoft.com/office/drawing/2014/main" id="{00000000-0008-0000-0200-00000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4" name="Text Box 103">
          <a:extLst>
            <a:ext uri="{FF2B5EF4-FFF2-40B4-BE49-F238E27FC236}">
              <a16:creationId xmlns:a16="http://schemas.microsoft.com/office/drawing/2014/main" id="{00000000-0008-0000-0200-00000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5" name="Text Box 104">
          <a:extLst>
            <a:ext uri="{FF2B5EF4-FFF2-40B4-BE49-F238E27FC236}">
              <a16:creationId xmlns:a16="http://schemas.microsoft.com/office/drawing/2014/main" id="{00000000-0008-0000-0200-00000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6" name="Text Box 105">
          <a:extLst>
            <a:ext uri="{FF2B5EF4-FFF2-40B4-BE49-F238E27FC236}">
              <a16:creationId xmlns:a16="http://schemas.microsoft.com/office/drawing/2014/main" id="{00000000-0008-0000-0200-00000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7" name="Text Box 106">
          <a:extLst>
            <a:ext uri="{FF2B5EF4-FFF2-40B4-BE49-F238E27FC236}">
              <a16:creationId xmlns:a16="http://schemas.microsoft.com/office/drawing/2014/main" id="{00000000-0008-0000-0200-00000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8" name="Text Box 107">
          <a:extLst>
            <a:ext uri="{FF2B5EF4-FFF2-40B4-BE49-F238E27FC236}">
              <a16:creationId xmlns:a16="http://schemas.microsoft.com/office/drawing/2014/main" id="{00000000-0008-0000-0200-00000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49" name="Text Box 108">
          <a:extLst>
            <a:ext uri="{FF2B5EF4-FFF2-40B4-BE49-F238E27FC236}">
              <a16:creationId xmlns:a16="http://schemas.microsoft.com/office/drawing/2014/main" id="{00000000-0008-0000-0200-00000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0" name="Text Box 109">
          <a:extLst>
            <a:ext uri="{FF2B5EF4-FFF2-40B4-BE49-F238E27FC236}">
              <a16:creationId xmlns:a16="http://schemas.microsoft.com/office/drawing/2014/main" id="{00000000-0008-0000-0200-00000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1" name="Text Box 110">
          <a:extLst>
            <a:ext uri="{FF2B5EF4-FFF2-40B4-BE49-F238E27FC236}">
              <a16:creationId xmlns:a16="http://schemas.microsoft.com/office/drawing/2014/main" id="{00000000-0008-0000-0200-00000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2" name="Text Box 111">
          <a:extLst>
            <a:ext uri="{FF2B5EF4-FFF2-40B4-BE49-F238E27FC236}">
              <a16:creationId xmlns:a16="http://schemas.microsoft.com/office/drawing/2014/main" id="{00000000-0008-0000-0200-00001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3" name="Text Box 112">
          <a:extLst>
            <a:ext uri="{FF2B5EF4-FFF2-40B4-BE49-F238E27FC236}">
              <a16:creationId xmlns:a16="http://schemas.microsoft.com/office/drawing/2014/main" id="{00000000-0008-0000-0200-00001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4" name="Text Box 113">
          <a:extLst>
            <a:ext uri="{FF2B5EF4-FFF2-40B4-BE49-F238E27FC236}">
              <a16:creationId xmlns:a16="http://schemas.microsoft.com/office/drawing/2014/main" id="{00000000-0008-0000-0200-00001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5" name="Text Box 114">
          <a:extLst>
            <a:ext uri="{FF2B5EF4-FFF2-40B4-BE49-F238E27FC236}">
              <a16:creationId xmlns:a16="http://schemas.microsoft.com/office/drawing/2014/main" id="{00000000-0008-0000-0200-00001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6" name="Text Box 115">
          <a:extLst>
            <a:ext uri="{FF2B5EF4-FFF2-40B4-BE49-F238E27FC236}">
              <a16:creationId xmlns:a16="http://schemas.microsoft.com/office/drawing/2014/main" id="{00000000-0008-0000-0200-00001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7" name="Text Box 116">
          <a:extLst>
            <a:ext uri="{FF2B5EF4-FFF2-40B4-BE49-F238E27FC236}">
              <a16:creationId xmlns:a16="http://schemas.microsoft.com/office/drawing/2014/main" id="{00000000-0008-0000-0200-00001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8" name="Text Box 117">
          <a:extLst>
            <a:ext uri="{FF2B5EF4-FFF2-40B4-BE49-F238E27FC236}">
              <a16:creationId xmlns:a16="http://schemas.microsoft.com/office/drawing/2014/main" id="{00000000-0008-0000-0200-00001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59" name="Text Box 118">
          <a:extLst>
            <a:ext uri="{FF2B5EF4-FFF2-40B4-BE49-F238E27FC236}">
              <a16:creationId xmlns:a16="http://schemas.microsoft.com/office/drawing/2014/main" id="{00000000-0008-0000-0200-00001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0" name="Text Box 119">
          <a:extLst>
            <a:ext uri="{FF2B5EF4-FFF2-40B4-BE49-F238E27FC236}">
              <a16:creationId xmlns:a16="http://schemas.microsoft.com/office/drawing/2014/main" id="{00000000-0008-0000-0200-00001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1" name="Text Box 120">
          <a:extLst>
            <a:ext uri="{FF2B5EF4-FFF2-40B4-BE49-F238E27FC236}">
              <a16:creationId xmlns:a16="http://schemas.microsoft.com/office/drawing/2014/main" id="{00000000-0008-0000-0200-00001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2" name="Text Box 121">
          <a:extLst>
            <a:ext uri="{FF2B5EF4-FFF2-40B4-BE49-F238E27FC236}">
              <a16:creationId xmlns:a16="http://schemas.microsoft.com/office/drawing/2014/main" id="{00000000-0008-0000-0200-00001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3" name="Text Box 122">
          <a:extLst>
            <a:ext uri="{FF2B5EF4-FFF2-40B4-BE49-F238E27FC236}">
              <a16:creationId xmlns:a16="http://schemas.microsoft.com/office/drawing/2014/main" id="{00000000-0008-0000-0200-00001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4" name="Text Box 123">
          <a:extLst>
            <a:ext uri="{FF2B5EF4-FFF2-40B4-BE49-F238E27FC236}">
              <a16:creationId xmlns:a16="http://schemas.microsoft.com/office/drawing/2014/main" id="{00000000-0008-0000-0200-00001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5" name="Text Box 124">
          <a:extLst>
            <a:ext uri="{FF2B5EF4-FFF2-40B4-BE49-F238E27FC236}">
              <a16:creationId xmlns:a16="http://schemas.microsoft.com/office/drawing/2014/main" id="{00000000-0008-0000-0200-00001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6" name="Text Box 125">
          <a:extLst>
            <a:ext uri="{FF2B5EF4-FFF2-40B4-BE49-F238E27FC236}">
              <a16:creationId xmlns:a16="http://schemas.microsoft.com/office/drawing/2014/main" id="{00000000-0008-0000-0200-00001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7" name="Text Box 126">
          <a:extLst>
            <a:ext uri="{FF2B5EF4-FFF2-40B4-BE49-F238E27FC236}">
              <a16:creationId xmlns:a16="http://schemas.microsoft.com/office/drawing/2014/main" id="{00000000-0008-0000-0200-00001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8" name="Text Box 127">
          <a:extLst>
            <a:ext uri="{FF2B5EF4-FFF2-40B4-BE49-F238E27FC236}">
              <a16:creationId xmlns:a16="http://schemas.microsoft.com/office/drawing/2014/main" id="{00000000-0008-0000-0200-00002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69" name="Text Box 128">
          <a:extLst>
            <a:ext uri="{FF2B5EF4-FFF2-40B4-BE49-F238E27FC236}">
              <a16:creationId xmlns:a16="http://schemas.microsoft.com/office/drawing/2014/main" id="{00000000-0008-0000-0200-00002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570" name="Text Box 129">
          <a:extLst>
            <a:ext uri="{FF2B5EF4-FFF2-40B4-BE49-F238E27FC236}">
              <a16:creationId xmlns:a16="http://schemas.microsoft.com/office/drawing/2014/main" id="{00000000-0008-0000-0200-00002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162204"/>
    <xdr:sp macro="" textlink="">
      <xdr:nvSpPr>
        <xdr:cNvPr id="1571" name="Text Box 130">
          <a:extLst>
            <a:ext uri="{FF2B5EF4-FFF2-40B4-BE49-F238E27FC236}">
              <a16:creationId xmlns:a16="http://schemas.microsoft.com/office/drawing/2014/main" id="{00000000-0008-0000-0200-000023060000}"/>
            </a:ext>
          </a:extLst>
        </xdr:cNvPr>
        <xdr:cNvSpPr txBox="1">
          <a:spLocks noChangeArrowheads="1"/>
        </xdr:cNvSpPr>
      </xdr:nvSpPr>
      <xdr:spPr bwMode="auto">
        <a:xfrm>
          <a:off x="1076325" y="15078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572" name="Text Box 131">
          <a:extLst>
            <a:ext uri="{FF2B5EF4-FFF2-40B4-BE49-F238E27FC236}">
              <a16:creationId xmlns:a16="http://schemas.microsoft.com/office/drawing/2014/main" id="{00000000-0008-0000-0200-000024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73" name="Text Box 132">
          <a:extLst>
            <a:ext uri="{FF2B5EF4-FFF2-40B4-BE49-F238E27FC236}">
              <a16:creationId xmlns:a16="http://schemas.microsoft.com/office/drawing/2014/main" id="{00000000-0008-0000-0200-00002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74" name="Text Box 133">
          <a:extLst>
            <a:ext uri="{FF2B5EF4-FFF2-40B4-BE49-F238E27FC236}">
              <a16:creationId xmlns:a16="http://schemas.microsoft.com/office/drawing/2014/main" id="{00000000-0008-0000-0200-00002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75" name="Text Box 134">
          <a:extLst>
            <a:ext uri="{FF2B5EF4-FFF2-40B4-BE49-F238E27FC236}">
              <a16:creationId xmlns:a16="http://schemas.microsoft.com/office/drawing/2014/main" id="{00000000-0008-0000-0200-000027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76" name="Text Box 135">
          <a:extLst>
            <a:ext uri="{FF2B5EF4-FFF2-40B4-BE49-F238E27FC236}">
              <a16:creationId xmlns:a16="http://schemas.microsoft.com/office/drawing/2014/main" id="{00000000-0008-0000-0200-00002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77" name="Text Box 136">
          <a:extLst>
            <a:ext uri="{FF2B5EF4-FFF2-40B4-BE49-F238E27FC236}">
              <a16:creationId xmlns:a16="http://schemas.microsoft.com/office/drawing/2014/main" id="{00000000-0008-0000-0200-00002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578" name="Text Box 137">
          <a:extLst>
            <a:ext uri="{FF2B5EF4-FFF2-40B4-BE49-F238E27FC236}">
              <a16:creationId xmlns:a16="http://schemas.microsoft.com/office/drawing/2014/main" id="{00000000-0008-0000-0200-00002A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79" name="Text Box 138">
          <a:extLst>
            <a:ext uri="{FF2B5EF4-FFF2-40B4-BE49-F238E27FC236}">
              <a16:creationId xmlns:a16="http://schemas.microsoft.com/office/drawing/2014/main" id="{00000000-0008-0000-0200-00002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0" name="Text Box 139">
          <a:extLst>
            <a:ext uri="{FF2B5EF4-FFF2-40B4-BE49-F238E27FC236}">
              <a16:creationId xmlns:a16="http://schemas.microsoft.com/office/drawing/2014/main" id="{00000000-0008-0000-0200-00002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81" name="Text Box 140">
          <a:extLst>
            <a:ext uri="{FF2B5EF4-FFF2-40B4-BE49-F238E27FC236}">
              <a16:creationId xmlns:a16="http://schemas.microsoft.com/office/drawing/2014/main" id="{00000000-0008-0000-0200-00002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2" name="Text Box 141">
          <a:extLst>
            <a:ext uri="{FF2B5EF4-FFF2-40B4-BE49-F238E27FC236}">
              <a16:creationId xmlns:a16="http://schemas.microsoft.com/office/drawing/2014/main" id="{00000000-0008-0000-0200-00002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3" name="Text Box 142">
          <a:extLst>
            <a:ext uri="{FF2B5EF4-FFF2-40B4-BE49-F238E27FC236}">
              <a16:creationId xmlns:a16="http://schemas.microsoft.com/office/drawing/2014/main" id="{00000000-0008-0000-0200-00002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584" name="Text Box 143">
          <a:extLst>
            <a:ext uri="{FF2B5EF4-FFF2-40B4-BE49-F238E27FC236}">
              <a16:creationId xmlns:a16="http://schemas.microsoft.com/office/drawing/2014/main" id="{00000000-0008-0000-0200-000030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5" name="Text Box 144">
          <a:extLst>
            <a:ext uri="{FF2B5EF4-FFF2-40B4-BE49-F238E27FC236}">
              <a16:creationId xmlns:a16="http://schemas.microsoft.com/office/drawing/2014/main" id="{00000000-0008-0000-0200-00003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6" name="Text Box 145">
          <a:extLst>
            <a:ext uri="{FF2B5EF4-FFF2-40B4-BE49-F238E27FC236}">
              <a16:creationId xmlns:a16="http://schemas.microsoft.com/office/drawing/2014/main" id="{00000000-0008-0000-0200-00003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587" name="Text Box 146">
          <a:extLst>
            <a:ext uri="{FF2B5EF4-FFF2-40B4-BE49-F238E27FC236}">
              <a16:creationId xmlns:a16="http://schemas.microsoft.com/office/drawing/2014/main" id="{00000000-0008-0000-0200-00003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588" name="Text Box 147">
          <a:extLst>
            <a:ext uri="{FF2B5EF4-FFF2-40B4-BE49-F238E27FC236}">
              <a16:creationId xmlns:a16="http://schemas.microsoft.com/office/drawing/2014/main" id="{00000000-0008-0000-0200-00003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89" name="Text Box 148">
          <a:extLst>
            <a:ext uri="{FF2B5EF4-FFF2-40B4-BE49-F238E27FC236}">
              <a16:creationId xmlns:a16="http://schemas.microsoft.com/office/drawing/2014/main" id="{00000000-0008-0000-0200-00003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0" name="Text Box 149">
          <a:extLst>
            <a:ext uri="{FF2B5EF4-FFF2-40B4-BE49-F238E27FC236}">
              <a16:creationId xmlns:a16="http://schemas.microsoft.com/office/drawing/2014/main" id="{00000000-0008-0000-0200-00003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91" name="Text Box 150">
          <a:extLst>
            <a:ext uri="{FF2B5EF4-FFF2-40B4-BE49-F238E27FC236}">
              <a16:creationId xmlns:a16="http://schemas.microsoft.com/office/drawing/2014/main" id="{00000000-0008-0000-0200-00003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2" name="Text Box 151">
          <a:extLst>
            <a:ext uri="{FF2B5EF4-FFF2-40B4-BE49-F238E27FC236}">
              <a16:creationId xmlns:a16="http://schemas.microsoft.com/office/drawing/2014/main" id="{00000000-0008-0000-0200-00003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3" name="Text Box 152">
          <a:extLst>
            <a:ext uri="{FF2B5EF4-FFF2-40B4-BE49-F238E27FC236}">
              <a16:creationId xmlns:a16="http://schemas.microsoft.com/office/drawing/2014/main" id="{00000000-0008-0000-0200-00003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594" name="Text Box 153">
          <a:extLst>
            <a:ext uri="{FF2B5EF4-FFF2-40B4-BE49-F238E27FC236}">
              <a16:creationId xmlns:a16="http://schemas.microsoft.com/office/drawing/2014/main" id="{00000000-0008-0000-0200-00003A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5" name="Text Box 154">
          <a:extLst>
            <a:ext uri="{FF2B5EF4-FFF2-40B4-BE49-F238E27FC236}">
              <a16:creationId xmlns:a16="http://schemas.microsoft.com/office/drawing/2014/main" id="{00000000-0008-0000-0200-00003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6" name="Text Box 155">
          <a:extLst>
            <a:ext uri="{FF2B5EF4-FFF2-40B4-BE49-F238E27FC236}">
              <a16:creationId xmlns:a16="http://schemas.microsoft.com/office/drawing/2014/main" id="{00000000-0008-0000-0200-00003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597" name="Text Box 156">
          <a:extLst>
            <a:ext uri="{FF2B5EF4-FFF2-40B4-BE49-F238E27FC236}">
              <a16:creationId xmlns:a16="http://schemas.microsoft.com/office/drawing/2014/main" id="{00000000-0008-0000-0200-00003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8" name="Text Box 157">
          <a:extLst>
            <a:ext uri="{FF2B5EF4-FFF2-40B4-BE49-F238E27FC236}">
              <a16:creationId xmlns:a16="http://schemas.microsoft.com/office/drawing/2014/main" id="{00000000-0008-0000-0200-00003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599" name="Text Box 158">
          <a:extLst>
            <a:ext uri="{FF2B5EF4-FFF2-40B4-BE49-F238E27FC236}">
              <a16:creationId xmlns:a16="http://schemas.microsoft.com/office/drawing/2014/main" id="{00000000-0008-0000-0200-00003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00" name="Text Box 159">
          <a:extLst>
            <a:ext uri="{FF2B5EF4-FFF2-40B4-BE49-F238E27FC236}">
              <a16:creationId xmlns:a16="http://schemas.microsoft.com/office/drawing/2014/main" id="{00000000-0008-0000-0200-000040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1" name="Text Box 160">
          <a:extLst>
            <a:ext uri="{FF2B5EF4-FFF2-40B4-BE49-F238E27FC236}">
              <a16:creationId xmlns:a16="http://schemas.microsoft.com/office/drawing/2014/main" id="{00000000-0008-0000-0200-00004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2" name="Text Box 161">
          <a:extLst>
            <a:ext uri="{FF2B5EF4-FFF2-40B4-BE49-F238E27FC236}">
              <a16:creationId xmlns:a16="http://schemas.microsoft.com/office/drawing/2014/main" id="{00000000-0008-0000-0200-00004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603" name="Text Box 162">
          <a:extLst>
            <a:ext uri="{FF2B5EF4-FFF2-40B4-BE49-F238E27FC236}">
              <a16:creationId xmlns:a16="http://schemas.microsoft.com/office/drawing/2014/main" id="{00000000-0008-0000-0200-00004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04" name="Text Box 163">
          <a:extLst>
            <a:ext uri="{FF2B5EF4-FFF2-40B4-BE49-F238E27FC236}">
              <a16:creationId xmlns:a16="http://schemas.microsoft.com/office/drawing/2014/main" id="{00000000-0008-0000-0200-000044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5" name="Text Box 164">
          <a:extLst>
            <a:ext uri="{FF2B5EF4-FFF2-40B4-BE49-F238E27FC236}">
              <a16:creationId xmlns:a16="http://schemas.microsoft.com/office/drawing/2014/main" id="{00000000-0008-0000-0200-00004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6" name="Text Box 165">
          <a:extLst>
            <a:ext uri="{FF2B5EF4-FFF2-40B4-BE49-F238E27FC236}">
              <a16:creationId xmlns:a16="http://schemas.microsoft.com/office/drawing/2014/main" id="{00000000-0008-0000-0200-00004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607" name="Text Box 166">
          <a:extLst>
            <a:ext uri="{FF2B5EF4-FFF2-40B4-BE49-F238E27FC236}">
              <a16:creationId xmlns:a16="http://schemas.microsoft.com/office/drawing/2014/main" id="{00000000-0008-0000-0200-00004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8" name="Text Box 167">
          <a:extLst>
            <a:ext uri="{FF2B5EF4-FFF2-40B4-BE49-F238E27FC236}">
              <a16:creationId xmlns:a16="http://schemas.microsoft.com/office/drawing/2014/main" id="{00000000-0008-0000-0200-00004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09" name="Text Box 168">
          <a:extLst>
            <a:ext uri="{FF2B5EF4-FFF2-40B4-BE49-F238E27FC236}">
              <a16:creationId xmlns:a16="http://schemas.microsoft.com/office/drawing/2014/main" id="{00000000-0008-0000-0200-00004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10" name="Text Box 169">
          <a:extLst>
            <a:ext uri="{FF2B5EF4-FFF2-40B4-BE49-F238E27FC236}">
              <a16:creationId xmlns:a16="http://schemas.microsoft.com/office/drawing/2014/main" id="{00000000-0008-0000-0200-00004A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1" name="Text Box 170">
          <a:extLst>
            <a:ext uri="{FF2B5EF4-FFF2-40B4-BE49-F238E27FC236}">
              <a16:creationId xmlns:a16="http://schemas.microsoft.com/office/drawing/2014/main" id="{00000000-0008-0000-0200-00004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2" name="Text Box 171">
          <a:extLst>
            <a:ext uri="{FF2B5EF4-FFF2-40B4-BE49-F238E27FC236}">
              <a16:creationId xmlns:a16="http://schemas.microsoft.com/office/drawing/2014/main" id="{00000000-0008-0000-0200-00004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613" name="Text Box 172">
          <a:extLst>
            <a:ext uri="{FF2B5EF4-FFF2-40B4-BE49-F238E27FC236}">
              <a16:creationId xmlns:a16="http://schemas.microsoft.com/office/drawing/2014/main" id="{00000000-0008-0000-0200-00004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4" name="Text Box 173">
          <a:extLst>
            <a:ext uri="{FF2B5EF4-FFF2-40B4-BE49-F238E27FC236}">
              <a16:creationId xmlns:a16="http://schemas.microsoft.com/office/drawing/2014/main" id="{00000000-0008-0000-0200-00004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5" name="Text Box 174">
          <a:extLst>
            <a:ext uri="{FF2B5EF4-FFF2-40B4-BE49-F238E27FC236}">
              <a16:creationId xmlns:a16="http://schemas.microsoft.com/office/drawing/2014/main" id="{00000000-0008-0000-0200-00004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16" name="Text Box 175">
          <a:extLst>
            <a:ext uri="{FF2B5EF4-FFF2-40B4-BE49-F238E27FC236}">
              <a16:creationId xmlns:a16="http://schemas.microsoft.com/office/drawing/2014/main" id="{00000000-0008-0000-0200-00005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7" name="Text Box 176">
          <a:extLst>
            <a:ext uri="{FF2B5EF4-FFF2-40B4-BE49-F238E27FC236}">
              <a16:creationId xmlns:a16="http://schemas.microsoft.com/office/drawing/2014/main" id="{00000000-0008-0000-0200-00005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18" name="Text Box 177">
          <a:extLst>
            <a:ext uri="{FF2B5EF4-FFF2-40B4-BE49-F238E27FC236}">
              <a16:creationId xmlns:a16="http://schemas.microsoft.com/office/drawing/2014/main" id="{00000000-0008-0000-0200-00005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619" name="Text Box 178">
          <a:extLst>
            <a:ext uri="{FF2B5EF4-FFF2-40B4-BE49-F238E27FC236}">
              <a16:creationId xmlns:a16="http://schemas.microsoft.com/office/drawing/2014/main" id="{00000000-0008-0000-0200-00005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20" name="Text Box 179">
          <a:extLst>
            <a:ext uri="{FF2B5EF4-FFF2-40B4-BE49-F238E27FC236}">
              <a16:creationId xmlns:a16="http://schemas.microsoft.com/office/drawing/2014/main" id="{00000000-0008-0000-0200-00005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21" name="Text Box 180">
          <a:extLst>
            <a:ext uri="{FF2B5EF4-FFF2-40B4-BE49-F238E27FC236}">
              <a16:creationId xmlns:a16="http://schemas.microsoft.com/office/drawing/2014/main" id="{00000000-0008-0000-0200-00005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2" name="Text Box 181">
          <a:extLst>
            <a:ext uri="{FF2B5EF4-FFF2-40B4-BE49-F238E27FC236}">
              <a16:creationId xmlns:a16="http://schemas.microsoft.com/office/drawing/2014/main" id="{00000000-0008-0000-0200-00005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3" name="Text Box 182">
          <a:extLst>
            <a:ext uri="{FF2B5EF4-FFF2-40B4-BE49-F238E27FC236}">
              <a16:creationId xmlns:a16="http://schemas.microsoft.com/office/drawing/2014/main" id="{00000000-0008-0000-0200-00005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4" name="Text Box 183">
          <a:extLst>
            <a:ext uri="{FF2B5EF4-FFF2-40B4-BE49-F238E27FC236}">
              <a16:creationId xmlns:a16="http://schemas.microsoft.com/office/drawing/2014/main" id="{00000000-0008-0000-0200-00005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5" name="Text Box 184">
          <a:extLst>
            <a:ext uri="{FF2B5EF4-FFF2-40B4-BE49-F238E27FC236}">
              <a16:creationId xmlns:a16="http://schemas.microsoft.com/office/drawing/2014/main" id="{00000000-0008-0000-0200-00005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6" name="Text Box 185">
          <a:extLst>
            <a:ext uri="{FF2B5EF4-FFF2-40B4-BE49-F238E27FC236}">
              <a16:creationId xmlns:a16="http://schemas.microsoft.com/office/drawing/2014/main" id="{00000000-0008-0000-0200-00005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7" name="Text Box 186">
          <a:extLst>
            <a:ext uri="{FF2B5EF4-FFF2-40B4-BE49-F238E27FC236}">
              <a16:creationId xmlns:a16="http://schemas.microsoft.com/office/drawing/2014/main" id="{00000000-0008-0000-0200-00005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8" name="Text Box 187">
          <a:extLst>
            <a:ext uri="{FF2B5EF4-FFF2-40B4-BE49-F238E27FC236}">
              <a16:creationId xmlns:a16="http://schemas.microsoft.com/office/drawing/2014/main" id="{00000000-0008-0000-0200-00005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29" name="Text Box 188">
          <a:extLst>
            <a:ext uri="{FF2B5EF4-FFF2-40B4-BE49-F238E27FC236}">
              <a16:creationId xmlns:a16="http://schemas.microsoft.com/office/drawing/2014/main" id="{00000000-0008-0000-0200-00005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0" name="Text Box 189">
          <a:extLst>
            <a:ext uri="{FF2B5EF4-FFF2-40B4-BE49-F238E27FC236}">
              <a16:creationId xmlns:a16="http://schemas.microsoft.com/office/drawing/2014/main" id="{00000000-0008-0000-0200-00005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1" name="Text Box 190">
          <a:extLst>
            <a:ext uri="{FF2B5EF4-FFF2-40B4-BE49-F238E27FC236}">
              <a16:creationId xmlns:a16="http://schemas.microsoft.com/office/drawing/2014/main" id="{00000000-0008-0000-0200-00005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2" name="Text Box 191">
          <a:extLst>
            <a:ext uri="{FF2B5EF4-FFF2-40B4-BE49-F238E27FC236}">
              <a16:creationId xmlns:a16="http://schemas.microsoft.com/office/drawing/2014/main" id="{00000000-0008-0000-0200-00006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3" name="Text Box 192">
          <a:extLst>
            <a:ext uri="{FF2B5EF4-FFF2-40B4-BE49-F238E27FC236}">
              <a16:creationId xmlns:a16="http://schemas.microsoft.com/office/drawing/2014/main" id="{00000000-0008-0000-0200-00006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4" name="Text Box 193">
          <a:extLst>
            <a:ext uri="{FF2B5EF4-FFF2-40B4-BE49-F238E27FC236}">
              <a16:creationId xmlns:a16="http://schemas.microsoft.com/office/drawing/2014/main" id="{00000000-0008-0000-0200-00006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5" name="Text Box 194">
          <a:extLst>
            <a:ext uri="{FF2B5EF4-FFF2-40B4-BE49-F238E27FC236}">
              <a16:creationId xmlns:a16="http://schemas.microsoft.com/office/drawing/2014/main" id="{00000000-0008-0000-0200-00006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6" name="Text Box 195">
          <a:extLst>
            <a:ext uri="{FF2B5EF4-FFF2-40B4-BE49-F238E27FC236}">
              <a16:creationId xmlns:a16="http://schemas.microsoft.com/office/drawing/2014/main" id="{00000000-0008-0000-0200-00006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7" name="Text Box 196">
          <a:extLst>
            <a:ext uri="{FF2B5EF4-FFF2-40B4-BE49-F238E27FC236}">
              <a16:creationId xmlns:a16="http://schemas.microsoft.com/office/drawing/2014/main" id="{00000000-0008-0000-0200-00006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8" name="Text Box 197">
          <a:extLst>
            <a:ext uri="{FF2B5EF4-FFF2-40B4-BE49-F238E27FC236}">
              <a16:creationId xmlns:a16="http://schemas.microsoft.com/office/drawing/2014/main" id="{00000000-0008-0000-0200-00006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39" name="Text Box 198">
          <a:extLst>
            <a:ext uri="{FF2B5EF4-FFF2-40B4-BE49-F238E27FC236}">
              <a16:creationId xmlns:a16="http://schemas.microsoft.com/office/drawing/2014/main" id="{00000000-0008-0000-0200-00006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0" name="Text Box 199">
          <a:extLst>
            <a:ext uri="{FF2B5EF4-FFF2-40B4-BE49-F238E27FC236}">
              <a16:creationId xmlns:a16="http://schemas.microsoft.com/office/drawing/2014/main" id="{00000000-0008-0000-0200-00006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1" name="Text Box 200">
          <a:extLst>
            <a:ext uri="{FF2B5EF4-FFF2-40B4-BE49-F238E27FC236}">
              <a16:creationId xmlns:a16="http://schemas.microsoft.com/office/drawing/2014/main" id="{00000000-0008-0000-0200-00006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2" name="Text Box 201">
          <a:extLst>
            <a:ext uri="{FF2B5EF4-FFF2-40B4-BE49-F238E27FC236}">
              <a16:creationId xmlns:a16="http://schemas.microsoft.com/office/drawing/2014/main" id="{00000000-0008-0000-0200-00006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3" name="Text Box 202">
          <a:extLst>
            <a:ext uri="{FF2B5EF4-FFF2-40B4-BE49-F238E27FC236}">
              <a16:creationId xmlns:a16="http://schemas.microsoft.com/office/drawing/2014/main" id="{00000000-0008-0000-0200-00006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4" name="Text Box 203">
          <a:extLst>
            <a:ext uri="{FF2B5EF4-FFF2-40B4-BE49-F238E27FC236}">
              <a16:creationId xmlns:a16="http://schemas.microsoft.com/office/drawing/2014/main" id="{00000000-0008-0000-0200-00006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5" name="Text Box 204">
          <a:extLst>
            <a:ext uri="{FF2B5EF4-FFF2-40B4-BE49-F238E27FC236}">
              <a16:creationId xmlns:a16="http://schemas.microsoft.com/office/drawing/2014/main" id="{00000000-0008-0000-0200-00006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6" name="Text Box 205">
          <a:extLst>
            <a:ext uri="{FF2B5EF4-FFF2-40B4-BE49-F238E27FC236}">
              <a16:creationId xmlns:a16="http://schemas.microsoft.com/office/drawing/2014/main" id="{00000000-0008-0000-0200-00006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7" name="Text Box 206">
          <a:extLst>
            <a:ext uri="{FF2B5EF4-FFF2-40B4-BE49-F238E27FC236}">
              <a16:creationId xmlns:a16="http://schemas.microsoft.com/office/drawing/2014/main" id="{00000000-0008-0000-0200-00006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648" name="Text Box 207">
          <a:extLst>
            <a:ext uri="{FF2B5EF4-FFF2-40B4-BE49-F238E27FC236}">
              <a16:creationId xmlns:a16="http://schemas.microsoft.com/office/drawing/2014/main" id="{00000000-0008-0000-0200-00007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649" name="Text Box 208">
          <a:extLst>
            <a:ext uri="{FF2B5EF4-FFF2-40B4-BE49-F238E27FC236}">
              <a16:creationId xmlns:a16="http://schemas.microsoft.com/office/drawing/2014/main" id="{00000000-0008-0000-0200-000071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50" name="Text Box 209">
          <a:extLst>
            <a:ext uri="{FF2B5EF4-FFF2-40B4-BE49-F238E27FC236}">
              <a16:creationId xmlns:a16="http://schemas.microsoft.com/office/drawing/2014/main" id="{00000000-0008-0000-0200-00007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1" name="Text Box 210">
          <a:extLst>
            <a:ext uri="{FF2B5EF4-FFF2-40B4-BE49-F238E27FC236}">
              <a16:creationId xmlns:a16="http://schemas.microsoft.com/office/drawing/2014/main" id="{00000000-0008-0000-0200-00007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2" name="Text Box 211">
          <a:extLst>
            <a:ext uri="{FF2B5EF4-FFF2-40B4-BE49-F238E27FC236}">
              <a16:creationId xmlns:a16="http://schemas.microsoft.com/office/drawing/2014/main" id="{00000000-0008-0000-0200-00007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53" name="Text Box 212">
          <a:extLst>
            <a:ext uri="{FF2B5EF4-FFF2-40B4-BE49-F238E27FC236}">
              <a16:creationId xmlns:a16="http://schemas.microsoft.com/office/drawing/2014/main" id="{00000000-0008-0000-0200-00007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4" name="Text Box 213">
          <a:extLst>
            <a:ext uri="{FF2B5EF4-FFF2-40B4-BE49-F238E27FC236}">
              <a16:creationId xmlns:a16="http://schemas.microsoft.com/office/drawing/2014/main" id="{00000000-0008-0000-0200-00007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5" name="Text Box 214">
          <a:extLst>
            <a:ext uri="{FF2B5EF4-FFF2-40B4-BE49-F238E27FC236}">
              <a16:creationId xmlns:a16="http://schemas.microsoft.com/office/drawing/2014/main" id="{00000000-0008-0000-0200-00007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56" name="Text Box 215">
          <a:extLst>
            <a:ext uri="{FF2B5EF4-FFF2-40B4-BE49-F238E27FC236}">
              <a16:creationId xmlns:a16="http://schemas.microsoft.com/office/drawing/2014/main" id="{00000000-0008-0000-0200-00007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7" name="Text Box 216">
          <a:extLst>
            <a:ext uri="{FF2B5EF4-FFF2-40B4-BE49-F238E27FC236}">
              <a16:creationId xmlns:a16="http://schemas.microsoft.com/office/drawing/2014/main" id="{00000000-0008-0000-0200-00007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58" name="Text Box 217">
          <a:extLst>
            <a:ext uri="{FF2B5EF4-FFF2-40B4-BE49-F238E27FC236}">
              <a16:creationId xmlns:a16="http://schemas.microsoft.com/office/drawing/2014/main" id="{00000000-0008-0000-0200-00007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59" name="Text Box 218">
          <a:extLst>
            <a:ext uri="{FF2B5EF4-FFF2-40B4-BE49-F238E27FC236}">
              <a16:creationId xmlns:a16="http://schemas.microsoft.com/office/drawing/2014/main" id="{00000000-0008-0000-0200-00007B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0" name="Text Box 219">
          <a:extLst>
            <a:ext uri="{FF2B5EF4-FFF2-40B4-BE49-F238E27FC236}">
              <a16:creationId xmlns:a16="http://schemas.microsoft.com/office/drawing/2014/main" id="{00000000-0008-0000-0200-00007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1" name="Text Box 220">
          <a:extLst>
            <a:ext uri="{FF2B5EF4-FFF2-40B4-BE49-F238E27FC236}">
              <a16:creationId xmlns:a16="http://schemas.microsoft.com/office/drawing/2014/main" id="{00000000-0008-0000-0200-00007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62" name="Text Box 221">
          <a:extLst>
            <a:ext uri="{FF2B5EF4-FFF2-40B4-BE49-F238E27FC236}">
              <a16:creationId xmlns:a16="http://schemas.microsoft.com/office/drawing/2014/main" id="{00000000-0008-0000-0200-00007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3" name="Text Box 222">
          <a:extLst>
            <a:ext uri="{FF2B5EF4-FFF2-40B4-BE49-F238E27FC236}">
              <a16:creationId xmlns:a16="http://schemas.microsoft.com/office/drawing/2014/main" id="{00000000-0008-0000-0200-00007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4" name="Text Box 223">
          <a:extLst>
            <a:ext uri="{FF2B5EF4-FFF2-40B4-BE49-F238E27FC236}">
              <a16:creationId xmlns:a16="http://schemas.microsoft.com/office/drawing/2014/main" id="{00000000-0008-0000-0200-00008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65" name="Text Box 224">
          <a:extLst>
            <a:ext uri="{FF2B5EF4-FFF2-40B4-BE49-F238E27FC236}">
              <a16:creationId xmlns:a16="http://schemas.microsoft.com/office/drawing/2014/main" id="{00000000-0008-0000-0200-000081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6" name="Text Box 225">
          <a:extLst>
            <a:ext uri="{FF2B5EF4-FFF2-40B4-BE49-F238E27FC236}">
              <a16:creationId xmlns:a16="http://schemas.microsoft.com/office/drawing/2014/main" id="{00000000-0008-0000-0200-00008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67" name="Text Box 226">
          <a:extLst>
            <a:ext uri="{FF2B5EF4-FFF2-40B4-BE49-F238E27FC236}">
              <a16:creationId xmlns:a16="http://schemas.microsoft.com/office/drawing/2014/main" id="{00000000-0008-0000-0200-00008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68" name="Text Box 227">
          <a:extLst>
            <a:ext uri="{FF2B5EF4-FFF2-40B4-BE49-F238E27FC236}">
              <a16:creationId xmlns:a16="http://schemas.microsoft.com/office/drawing/2014/main" id="{00000000-0008-0000-0200-00008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69" name="Text Box 228">
          <a:extLst>
            <a:ext uri="{FF2B5EF4-FFF2-40B4-BE49-F238E27FC236}">
              <a16:creationId xmlns:a16="http://schemas.microsoft.com/office/drawing/2014/main" id="{00000000-0008-0000-0200-000085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0" name="Text Box 229">
          <a:extLst>
            <a:ext uri="{FF2B5EF4-FFF2-40B4-BE49-F238E27FC236}">
              <a16:creationId xmlns:a16="http://schemas.microsoft.com/office/drawing/2014/main" id="{00000000-0008-0000-0200-00008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1" name="Text Box 230">
          <a:extLst>
            <a:ext uri="{FF2B5EF4-FFF2-40B4-BE49-F238E27FC236}">
              <a16:creationId xmlns:a16="http://schemas.microsoft.com/office/drawing/2014/main" id="{00000000-0008-0000-0200-00008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72" name="Text Box 231">
          <a:extLst>
            <a:ext uri="{FF2B5EF4-FFF2-40B4-BE49-F238E27FC236}">
              <a16:creationId xmlns:a16="http://schemas.microsoft.com/office/drawing/2014/main" id="{00000000-0008-0000-0200-000088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3" name="Text Box 232">
          <a:extLst>
            <a:ext uri="{FF2B5EF4-FFF2-40B4-BE49-F238E27FC236}">
              <a16:creationId xmlns:a16="http://schemas.microsoft.com/office/drawing/2014/main" id="{00000000-0008-0000-0200-00008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4" name="Text Box 233">
          <a:extLst>
            <a:ext uri="{FF2B5EF4-FFF2-40B4-BE49-F238E27FC236}">
              <a16:creationId xmlns:a16="http://schemas.microsoft.com/office/drawing/2014/main" id="{00000000-0008-0000-0200-00008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75" name="Text Box 234">
          <a:extLst>
            <a:ext uri="{FF2B5EF4-FFF2-40B4-BE49-F238E27FC236}">
              <a16:creationId xmlns:a16="http://schemas.microsoft.com/office/drawing/2014/main" id="{00000000-0008-0000-0200-00008B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6" name="Text Box 235">
          <a:extLst>
            <a:ext uri="{FF2B5EF4-FFF2-40B4-BE49-F238E27FC236}">
              <a16:creationId xmlns:a16="http://schemas.microsoft.com/office/drawing/2014/main" id="{00000000-0008-0000-0200-00008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77" name="Text Box 236">
          <a:extLst>
            <a:ext uri="{FF2B5EF4-FFF2-40B4-BE49-F238E27FC236}">
              <a16:creationId xmlns:a16="http://schemas.microsoft.com/office/drawing/2014/main" id="{00000000-0008-0000-0200-00008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78" name="Text Box 237">
          <a:extLst>
            <a:ext uri="{FF2B5EF4-FFF2-40B4-BE49-F238E27FC236}">
              <a16:creationId xmlns:a16="http://schemas.microsoft.com/office/drawing/2014/main" id="{00000000-0008-0000-0200-00008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79" name="Text Box 238">
          <a:extLst>
            <a:ext uri="{FF2B5EF4-FFF2-40B4-BE49-F238E27FC236}">
              <a16:creationId xmlns:a16="http://schemas.microsoft.com/office/drawing/2014/main" id="{00000000-0008-0000-0200-00008F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0" name="Text Box 239">
          <a:extLst>
            <a:ext uri="{FF2B5EF4-FFF2-40B4-BE49-F238E27FC236}">
              <a16:creationId xmlns:a16="http://schemas.microsoft.com/office/drawing/2014/main" id="{00000000-0008-0000-0200-00009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1" name="Text Box 240">
          <a:extLst>
            <a:ext uri="{FF2B5EF4-FFF2-40B4-BE49-F238E27FC236}">
              <a16:creationId xmlns:a16="http://schemas.microsoft.com/office/drawing/2014/main" id="{00000000-0008-0000-0200-00009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82" name="Text Box 241">
          <a:extLst>
            <a:ext uri="{FF2B5EF4-FFF2-40B4-BE49-F238E27FC236}">
              <a16:creationId xmlns:a16="http://schemas.microsoft.com/office/drawing/2014/main" id="{00000000-0008-0000-0200-00009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3" name="Text Box 242">
          <a:extLst>
            <a:ext uri="{FF2B5EF4-FFF2-40B4-BE49-F238E27FC236}">
              <a16:creationId xmlns:a16="http://schemas.microsoft.com/office/drawing/2014/main" id="{00000000-0008-0000-0200-00009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4" name="Text Box 243">
          <a:extLst>
            <a:ext uri="{FF2B5EF4-FFF2-40B4-BE49-F238E27FC236}">
              <a16:creationId xmlns:a16="http://schemas.microsoft.com/office/drawing/2014/main" id="{00000000-0008-0000-0200-00009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85" name="Text Box 244">
          <a:extLst>
            <a:ext uri="{FF2B5EF4-FFF2-40B4-BE49-F238E27FC236}">
              <a16:creationId xmlns:a16="http://schemas.microsoft.com/office/drawing/2014/main" id="{00000000-0008-0000-0200-00009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6" name="Text Box 245">
          <a:extLst>
            <a:ext uri="{FF2B5EF4-FFF2-40B4-BE49-F238E27FC236}">
              <a16:creationId xmlns:a16="http://schemas.microsoft.com/office/drawing/2014/main" id="{00000000-0008-0000-0200-00009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87" name="Text Box 246">
          <a:extLst>
            <a:ext uri="{FF2B5EF4-FFF2-40B4-BE49-F238E27FC236}">
              <a16:creationId xmlns:a16="http://schemas.microsoft.com/office/drawing/2014/main" id="{00000000-0008-0000-0200-00009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688" name="Text Box 247">
          <a:extLst>
            <a:ext uri="{FF2B5EF4-FFF2-40B4-BE49-F238E27FC236}">
              <a16:creationId xmlns:a16="http://schemas.microsoft.com/office/drawing/2014/main" id="{00000000-0008-0000-0200-00009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89" name="Text Box 248">
          <a:extLst>
            <a:ext uri="{FF2B5EF4-FFF2-40B4-BE49-F238E27FC236}">
              <a16:creationId xmlns:a16="http://schemas.microsoft.com/office/drawing/2014/main" id="{00000000-0008-0000-0200-000099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0" name="Text Box 249">
          <a:extLst>
            <a:ext uri="{FF2B5EF4-FFF2-40B4-BE49-F238E27FC236}">
              <a16:creationId xmlns:a16="http://schemas.microsoft.com/office/drawing/2014/main" id="{00000000-0008-0000-0200-00009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1" name="Text Box 250">
          <a:extLst>
            <a:ext uri="{FF2B5EF4-FFF2-40B4-BE49-F238E27FC236}">
              <a16:creationId xmlns:a16="http://schemas.microsoft.com/office/drawing/2014/main" id="{00000000-0008-0000-0200-00009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92" name="Text Box 251">
          <a:extLst>
            <a:ext uri="{FF2B5EF4-FFF2-40B4-BE49-F238E27FC236}">
              <a16:creationId xmlns:a16="http://schemas.microsoft.com/office/drawing/2014/main" id="{00000000-0008-0000-0200-00009C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3" name="Text Box 252">
          <a:extLst>
            <a:ext uri="{FF2B5EF4-FFF2-40B4-BE49-F238E27FC236}">
              <a16:creationId xmlns:a16="http://schemas.microsoft.com/office/drawing/2014/main" id="{00000000-0008-0000-0200-00009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4" name="Text Box 253">
          <a:extLst>
            <a:ext uri="{FF2B5EF4-FFF2-40B4-BE49-F238E27FC236}">
              <a16:creationId xmlns:a16="http://schemas.microsoft.com/office/drawing/2014/main" id="{00000000-0008-0000-0200-00009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95" name="Text Box 254">
          <a:extLst>
            <a:ext uri="{FF2B5EF4-FFF2-40B4-BE49-F238E27FC236}">
              <a16:creationId xmlns:a16="http://schemas.microsoft.com/office/drawing/2014/main" id="{00000000-0008-0000-0200-00009F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6" name="Text Box 255">
          <a:extLst>
            <a:ext uri="{FF2B5EF4-FFF2-40B4-BE49-F238E27FC236}">
              <a16:creationId xmlns:a16="http://schemas.microsoft.com/office/drawing/2014/main" id="{00000000-0008-0000-0200-0000A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697" name="Text Box 256">
          <a:extLst>
            <a:ext uri="{FF2B5EF4-FFF2-40B4-BE49-F238E27FC236}">
              <a16:creationId xmlns:a16="http://schemas.microsoft.com/office/drawing/2014/main" id="{00000000-0008-0000-0200-0000A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698" name="Text Box 257">
          <a:extLst>
            <a:ext uri="{FF2B5EF4-FFF2-40B4-BE49-F238E27FC236}">
              <a16:creationId xmlns:a16="http://schemas.microsoft.com/office/drawing/2014/main" id="{00000000-0008-0000-0200-0000A2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699" name="Text Box 258">
          <a:extLst>
            <a:ext uri="{FF2B5EF4-FFF2-40B4-BE49-F238E27FC236}">
              <a16:creationId xmlns:a16="http://schemas.microsoft.com/office/drawing/2014/main" id="{00000000-0008-0000-0200-0000A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0" name="Text Box 259">
          <a:extLst>
            <a:ext uri="{FF2B5EF4-FFF2-40B4-BE49-F238E27FC236}">
              <a16:creationId xmlns:a16="http://schemas.microsoft.com/office/drawing/2014/main" id="{00000000-0008-0000-0200-0000A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1" name="Text Box 260">
          <a:extLst>
            <a:ext uri="{FF2B5EF4-FFF2-40B4-BE49-F238E27FC236}">
              <a16:creationId xmlns:a16="http://schemas.microsoft.com/office/drawing/2014/main" id="{00000000-0008-0000-0200-0000A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02" name="Text Box 261">
          <a:extLst>
            <a:ext uri="{FF2B5EF4-FFF2-40B4-BE49-F238E27FC236}">
              <a16:creationId xmlns:a16="http://schemas.microsoft.com/office/drawing/2014/main" id="{00000000-0008-0000-0200-0000A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3" name="Text Box 262">
          <a:extLst>
            <a:ext uri="{FF2B5EF4-FFF2-40B4-BE49-F238E27FC236}">
              <a16:creationId xmlns:a16="http://schemas.microsoft.com/office/drawing/2014/main" id="{00000000-0008-0000-0200-0000A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4" name="Text Box 263">
          <a:extLst>
            <a:ext uri="{FF2B5EF4-FFF2-40B4-BE49-F238E27FC236}">
              <a16:creationId xmlns:a16="http://schemas.microsoft.com/office/drawing/2014/main" id="{00000000-0008-0000-0200-0000A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05" name="Text Box 264">
          <a:extLst>
            <a:ext uri="{FF2B5EF4-FFF2-40B4-BE49-F238E27FC236}">
              <a16:creationId xmlns:a16="http://schemas.microsoft.com/office/drawing/2014/main" id="{00000000-0008-0000-0200-0000A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6" name="Text Box 265">
          <a:extLst>
            <a:ext uri="{FF2B5EF4-FFF2-40B4-BE49-F238E27FC236}">
              <a16:creationId xmlns:a16="http://schemas.microsoft.com/office/drawing/2014/main" id="{00000000-0008-0000-0200-0000A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07" name="Text Box 266">
          <a:extLst>
            <a:ext uri="{FF2B5EF4-FFF2-40B4-BE49-F238E27FC236}">
              <a16:creationId xmlns:a16="http://schemas.microsoft.com/office/drawing/2014/main" id="{00000000-0008-0000-0200-0000A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08" name="Text Box 267">
          <a:extLst>
            <a:ext uri="{FF2B5EF4-FFF2-40B4-BE49-F238E27FC236}">
              <a16:creationId xmlns:a16="http://schemas.microsoft.com/office/drawing/2014/main" id="{00000000-0008-0000-0200-0000AC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709" name="Text Box 268">
          <a:extLst>
            <a:ext uri="{FF2B5EF4-FFF2-40B4-BE49-F238E27FC236}">
              <a16:creationId xmlns:a16="http://schemas.microsoft.com/office/drawing/2014/main" id="{00000000-0008-0000-0200-0000A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0" name="Text Box 269">
          <a:extLst>
            <a:ext uri="{FF2B5EF4-FFF2-40B4-BE49-F238E27FC236}">
              <a16:creationId xmlns:a16="http://schemas.microsoft.com/office/drawing/2014/main" id="{00000000-0008-0000-0200-0000A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1" name="Text Box 270">
          <a:extLst>
            <a:ext uri="{FF2B5EF4-FFF2-40B4-BE49-F238E27FC236}">
              <a16:creationId xmlns:a16="http://schemas.microsoft.com/office/drawing/2014/main" id="{00000000-0008-0000-0200-0000A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712" name="Text Box 271">
          <a:extLst>
            <a:ext uri="{FF2B5EF4-FFF2-40B4-BE49-F238E27FC236}">
              <a16:creationId xmlns:a16="http://schemas.microsoft.com/office/drawing/2014/main" id="{00000000-0008-0000-0200-0000B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3" name="Text Box 272">
          <a:extLst>
            <a:ext uri="{FF2B5EF4-FFF2-40B4-BE49-F238E27FC236}">
              <a16:creationId xmlns:a16="http://schemas.microsoft.com/office/drawing/2014/main" id="{00000000-0008-0000-0200-0000B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4" name="Text Box 273">
          <a:extLst>
            <a:ext uri="{FF2B5EF4-FFF2-40B4-BE49-F238E27FC236}">
              <a16:creationId xmlns:a16="http://schemas.microsoft.com/office/drawing/2014/main" id="{00000000-0008-0000-0200-0000B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715" name="Text Box 274">
          <a:extLst>
            <a:ext uri="{FF2B5EF4-FFF2-40B4-BE49-F238E27FC236}">
              <a16:creationId xmlns:a16="http://schemas.microsoft.com/office/drawing/2014/main" id="{00000000-0008-0000-0200-0000B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6" name="Text Box 275">
          <a:extLst>
            <a:ext uri="{FF2B5EF4-FFF2-40B4-BE49-F238E27FC236}">
              <a16:creationId xmlns:a16="http://schemas.microsoft.com/office/drawing/2014/main" id="{00000000-0008-0000-0200-0000B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17" name="Text Box 276">
          <a:extLst>
            <a:ext uri="{FF2B5EF4-FFF2-40B4-BE49-F238E27FC236}">
              <a16:creationId xmlns:a16="http://schemas.microsoft.com/office/drawing/2014/main" id="{00000000-0008-0000-0200-0000B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1718" name="Text Box 277">
          <a:extLst>
            <a:ext uri="{FF2B5EF4-FFF2-40B4-BE49-F238E27FC236}">
              <a16:creationId xmlns:a16="http://schemas.microsoft.com/office/drawing/2014/main" id="{00000000-0008-0000-0200-0000B6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19" name="Text Box 278">
          <a:extLst>
            <a:ext uri="{FF2B5EF4-FFF2-40B4-BE49-F238E27FC236}">
              <a16:creationId xmlns:a16="http://schemas.microsoft.com/office/drawing/2014/main" id="{00000000-0008-0000-0200-0000B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0" name="Text Box 279">
          <a:extLst>
            <a:ext uri="{FF2B5EF4-FFF2-40B4-BE49-F238E27FC236}">
              <a16:creationId xmlns:a16="http://schemas.microsoft.com/office/drawing/2014/main" id="{00000000-0008-0000-0200-0000B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1" name="Text Box 280">
          <a:extLst>
            <a:ext uri="{FF2B5EF4-FFF2-40B4-BE49-F238E27FC236}">
              <a16:creationId xmlns:a16="http://schemas.microsoft.com/office/drawing/2014/main" id="{00000000-0008-0000-0200-0000B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22" name="Text Box 281">
          <a:extLst>
            <a:ext uri="{FF2B5EF4-FFF2-40B4-BE49-F238E27FC236}">
              <a16:creationId xmlns:a16="http://schemas.microsoft.com/office/drawing/2014/main" id="{00000000-0008-0000-0200-0000B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3" name="Text Box 282">
          <a:extLst>
            <a:ext uri="{FF2B5EF4-FFF2-40B4-BE49-F238E27FC236}">
              <a16:creationId xmlns:a16="http://schemas.microsoft.com/office/drawing/2014/main" id="{00000000-0008-0000-0200-0000B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4" name="Text Box 283">
          <a:extLst>
            <a:ext uri="{FF2B5EF4-FFF2-40B4-BE49-F238E27FC236}">
              <a16:creationId xmlns:a16="http://schemas.microsoft.com/office/drawing/2014/main" id="{00000000-0008-0000-0200-0000B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25" name="Text Box 284">
          <a:extLst>
            <a:ext uri="{FF2B5EF4-FFF2-40B4-BE49-F238E27FC236}">
              <a16:creationId xmlns:a16="http://schemas.microsoft.com/office/drawing/2014/main" id="{00000000-0008-0000-0200-0000B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6" name="Text Box 285">
          <a:extLst>
            <a:ext uri="{FF2B5EF4-FFF2-40B4-BE49-F238E27FC236}">
              <a16:creationId xmlns:a16="http://schemas.microsoft.com/office/drawing/2014/main" id="{00000000-0008-0000-0200-0000B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7" name="Text Box 286">
          <a:extLst>
            <a:ext uri="{FF2B5EF4-FFF2-40B4-BE49-F238E27FC236}">
              <a16:creationId xmlns:a16="http://schemas.microsoft.com/office/drawing/2014/main" id="{00000000-0008-0000-0200-0000B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28" name="Text Box 287">
          <a:extLst>
            <a:ext uri="{FF2B5EF4-FFF2-40B4-BE49-F238E27FC236}">
              <a16:creationId xmlns:a16="http://schemas.microsoft.com/office/drawing/2014/main" id="{00000000-0008-0000-0200-0000C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29" name="Text Box 288">
          <a:extLst>
            <a:ext uri="{FF2B5EF4-FFF2-40B4-BE49-F238E27FC236}">
              <a16:creationId xmlns:a16="http://schemas.microsoft.com/office/drawing/2014/main" id="{00000000-0008-0000-0200-0000C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0" name="Text Box 289">
          <a:extLst>
            <a:ext uri="{FF2B5EF4-FFF2-40B4-BE49-F238E27FC236}">
              <a16:creationId xmlns:a16="http://schemas.microsoft.com/office/drawing/2014/main" id="{00000000-0008-0000-0200-0000C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31" name="Text Box 290">
          <a:extLst>
            <a:ext uri="{FF2B5EF4-FFF2-40B4-BE49-F238E27FC236}">
              <a16:creationId xmlns:a16="http://schemas.microsoft.com/office/drawing/2014/main" id="{00000000-0008-0000-0200-0000C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2" name="Text Box 291">
          <a:extLst>
            <a:ext uri="{FF2B5EF4-FFF2-40B4-BE49-F238E27FC236}">
              <a16:creationId xmlns:a16="http://schemas.microsoft.com/office/drawing/2014/main" id="{00000000-0008-0000-0200-0000C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3" name="Text Box 292">
          <a:extLst>
            <a:ext uri="{FF2B5EF4-FFF2-40B4-BE49-F238E27FC236}">
              <a16:creationId xmlns:a16="http://schemas.microsoft.com/office/drawing/2014/main" id="{00000000-0008-0000-0200-0000C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34" name="Text Box 293">
          <a:extLst>
            <a:ext uri="{FF2B5EF4-FFF2-40B4-BE49-F238E27FC236}">
              <a16:creationId xmlns:a16="http://schemas.microsoft.com/office/drawing/2014/main" id="{00000000-0008-0000-0200-0000C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5" name="Text Box 294">
          <a:extLst>
            <a:ext uri="{FF2B5EF4-FFF2-40B4-BE49-F238E27FC236}">
              <a16:creationId xmlns:a16="http://schemas.microsoft.com/office/drawing/2014/main" id="{00000000-0008-0000-0200-0000C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6" name="Text Box 295">
          <a:extLst>
            <a:ext uri="{FF2B5EF4-FFF2-40B4-BE49-F238E27FC236}">
              <a16:creationId xmlns:a16="http://schemas.microsoft.com/office/drawing/2014/main" id="{00000000-0008-0000-0200-0000C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37" name="Text Box 296">
          <a:extLst>
            <a:ext uri="{FF2B5EF4-FFF2-40B4-BE49-F238E27FC236}">
              <a16:creationId xmlns:a16="http://schemas.microsoft.com/office/drawing/2014/main" id="{00000000-0008-0000-0200-0000C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38" name="Text Box 297">
          <a:extLst>
            <a:ext uri="{FF2B5EF4-FFF2-40B4-BE49-F238E27FC236}">
              <a16:creationId xmlns:a16="http://schemas.microsoft.com/office/drawing/2014/main" id="{00000000-0008-0000-0200-0000C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39" name="Text Box 298">
          <a:extLst>
            <a:ext uri="{FF2B5EF4-FFF2-40B4-BE49-F238E27FC236}">
              <a16:creationId xmlns:a16="http://schemas.microsoft.com/office/drawing/2014/main" id="{00000000-0008-0000-0200-0000C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0" name="Text Box 299">
          <a:extLst>
            <a:ext uri="{FF2B5EF4-FFF2-40B4-BE49-F238E27FC236}">
              <a16:creationId xmlns:a16="http://schemas.microsoft.com/office/drawing/2014/main" id="{00000000-0008-0000-0200-0000C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41" name="Text Box 300">
          <a:extLst>
            <a:ext uri="{FF2B5EF4-FFF2-40B4-BE49-F238E27FC236}">
              <a16:creationId xmlns:a16="http://schemas.microsoft.com/office/drawing/2014/main" id="{00000000-0008-0000-0200-0000C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2" name="Text Box 301">
          <a:extLst>
            <a:ext uri="{FF2B5EF4-FFF2-40B4-BE49-F238E27FC236}">
              <a16:creationId xmlns:a16="http://schemas.microsoft.com/office/drawing/2014/main" id="{00000000-0008-0000-0200-0000C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3" name="Text Box 302">
          <a:extLst>
            <a:ext uri="{FF2B5EF4-FFF2-40B4-BE49-F238E27FC236}">
              <a16:creationId xmlns:a16="http://schemas.microsoft.com/office/drawing/2014/main" id="{00000000-0008-0000-0200-0000C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44" name="Text Box 303">
          <a:extLst>
            <a:ext uri="{FF2B5EF4-FFF2-40B4-BE49-F238E27FC236}">
              <a16:creationId xmlns:a16="http://schemas.microsoft.com/office/drawing/2014/main" id="{00000000-0008-0000-0200-0000D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5" name="Text Box 304">
          <a:extLst>
            <a:ext uri="{FF2B5EF4-FFF2-40B4-BE49-F238E27FC236}">
              <a16:creationId xmlns:a16="http://schemas.microsoft.com/office/drawing/2014/main" id="{00000000-0008-0000-0200-0000D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6" name="Text Box 305">
          <a:extLst>
            <a:ext uri="{FF2B5EF4-FFF2-40B4-BE49-F238E27FC236}">
              <a16:creationId xmlns:a16="http://schemas.microsoft.com/office/drawing/2014/main" id="{00000000-0008-0000-0200-0000D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47" name="Text Box 306">
          <a:extLst>
            <a:ext uri="{FF2B5EF4-FFF2-40B4-BE49-F238E27FC236}">
              <a16:creationId xmlns:a16="http://schemas.microsoft.com/office/drawing/2014/main" id="{00000000-0008-0000-0200-0000D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8" name="Text Box 307">
          <a:extLst>
            <a:ext uri="{FF2B5EF4-FFF2-40B4-BE49-F238E27FC236}">
              <a16:creationId xmlns:a16="http://schemas.microsoft.com/office/drawing/2014/main" id="{00000000-0008-0000-0200-0000D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49" name="Text Box 308">
          <a:extLst>
            <a:ext uri="{FF2B5EF4-FFF2-40B4-BE49-F238E27FC236}">
              <a16:creationId xmlns:a16="http://schemas.microsoft.com/office/drawing/2014/main" id="{00000000-0008-0000-0200-0000D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0" name="Text Box 309">
          <a:extLst>
            <a:ext uri="{FF2B5EF4-FFF2-40B4-BE49-F238E27FC236}">
              <a16:creationId xmlns:a16="http://schemas.microsoft.com/office/drawing/2014/main" id="{00000000-0008-0000-0200-0000D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1" name="Text Box 310">
          <a:extLst>
            <a:ext uri="{FF2B5EF4-FFF2-40B4-BE49-F238E27FC236}">
              <a16:creationId xmlns:a16="http://schemas.microsoft.com/office/drawing/2014/main" id="{00000000-0008-0000-0200-0000D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2" name="Text Box 311">
          <a:extLst>
            <a:ext uri="{FF2B5EF4-FFF2-40B4-BE49-F238E27FC236}">
              <a16:creationId xmlns:a16="http://schemas.microsoft.com/office/drawing/2014/main" id="{00000000-0008-0000-0200-0000D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3" name="Text Box 312">
          <a:extLst>
            <a:ext uri="{FF2B5EF4-FFF2-40B4-BE49-F238E27FC236}">
              <a16:creationId xmlns:a16="http://schemas.microsoft.com/office/drawing/2014/main" id="{00000000-0008-0000-0200-0000D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4" name="Text Box 313">
          <a:extLst>
            <a:ext uri="{FF2B5EF4-FFF2-40B4-BE49-F238E27FC236}">
              <a16:creationId xmlns:a16="http://schemas.microsoft.com/office/drawing/2014/main" id="{00000000-0008-0000-0200-0000D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5" name="Text Box 314">
          <a:extLst>
            <a:ext uri="{FF2B5EF4-FFF2-40B4-BE49-F238E27FC236}">
              <a16:creationId xmlns:a16="http://schemas.microsoft.com/office/drawing/2014/main" id="{00000000-0008-0000-0200-0000D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6" name="Text Box 315">
          <a:extLst>
            <a:ext uri="{FF2B5EF4-FFF2-40B4-BE49-F238E27FC236}">
              <a16:creationId xmlns:a16="http://schemas.microsoft.com/office/drawing/2014/main" id="{00000000-0008-0000-0200-0000D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7" name="Text Box 316">
          <a:extLst>
            <a:ext uri="{FF2B5EF4-FFF2-40B4-BE49-F238E27FC236}">
              <a16:creationId xmlns:a16="http://schemas.microsoft.com/office/drawing/2014/main" id="{00000000-0008-0000-0200-0000D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8" name="Text Box 317">
          <a:extLst>
            <a:ext uri="{FF2B5EF4-FFF2-40B4-BE49-F238E27FC236}">
              <a16:creationId xmlns:a16="http://schemas.microsoft.com/office/drawing/2014/main" id="{00000000-0008-0000-0200-0000D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59" name="Text Box 318">
          <a:extLst>
            <a:ext uri="{FF2B5EF4-FFF2-40B4-BE49-F238E27FC236}">
              <a16:creationId xmlns:a16="http://schemas.microsoft.com/office/drawing/2014/main" id="{00000000-0008-0000-0200-0000D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0" name="Text Box 319">
          <a:extLst>
            <a:ext uri="{FF2B5EF4-FFF2-40B4-BE49-F238E27FC236}">
              <a16:creationId xmlns:a16="http://schemas.microsoft.com/office/drawing/2014/main" id="{00000000-0008-0000-0200-0000E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1" name="Text Box 320">
          <a:extLst>
            <a:ext uri="{FF2B5EF4-FFF2-40B4-BE49-F238E27FC236}">
              <a16:creationId xmlns:a16="http://schemas.microsoft.com/office/drawing/2014/main" id="{00000000-0008-0000-0200-0000E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2" name="Text Box 321">
          <a:extLst>
            <a:ext uri="{FF2B5EF4-FFF2-40B4-BE49-F238E27FC236}">
              <a16:creationId xmlns:a16="http://schemas.microsoft.com/office/drawing/2014/main" id="{00000000-0008-0000-0200-0000E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3" name="Text Box 322">
          <a:extLst>
            <a:ext uri="{FF2B5EF4-FFF2-40B4-BE49-F238E27FC236}">
              <a16:creationId xmlns:a16="http://schemas.microsoft.com/office/drawing/2014/main" id="{00000000-0008-0000-0200-0000E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4" name="Text Box 323">
          <a:extLst>
            <a:ext uri="{FF2B5EF4-FFF2-40B4-BE49-F238E27FC236}">
              <a16:creationId xmlns:a16="http://schemas.microsoft.com/office/drawing/2014/main" id="{00000000-0008-0000-0200-0000E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5" name="Text Box 324">
          <a:extLst>
            <a:ext uri="{FF2B5EF4-FFF2-40B4-BE49-F238E27FC236}">
              <a16:creationId xmlns:a16="http://schemas.microsoft.com/office/drawing/2014/main" id="{00000000-0008-0000-0200-0000E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6" name="Text Box 325">
          <a:extLst>
            <a:ext uri="{FF2B5EF4-FFF2-40B4-BE49-F238E27FC236}">
              <a16:creationId xmlns:a16="http://schemas.microsoft.com/office/drawing/2014/main" id="{00000000-0008-0000-0200-0000E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7" name="Text Box 326">
          <a:extLst>
            <a:ext uri="{FF2B5EF4-FFF2-40B4-BE49-F238E27FC236}">
              <a16:creationId xmlns:a16="http://schemas.microsoft.com/office/drawing/2014/main" id="{00000000-0008-0000-0200-0000E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8" name="Text Box 327">
          <a:extLst>
            <a:ext uri="{FF2B5EF4-FFF2-40B4-BE49-F238E27FC236}">
              <a16:creationId xmlns:a16="http://schemas.microsoft.com/office/drawing/2014/main" id="{00000000-0008-0000-0200-0000E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69" name="Text Box 328">
          <a:extLst>
            <a:ext uri="{FF2B5EF4-FFF2-40B4-BE49-F238E27FC236}">
              <a16:creationId xmlns:a16="http://schemas.microsoft.com/office/drawing/2014/main" id="{00000000-0008-0000-0200-0000E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0" name="Text Box 329">
          <a:extLst>
            <a:ext uri="{FF2B5EF4-FFF2-40B4-BE49-F238E27FC236}">
              <a16:creationId xmlns:a16="http://schemas.microsoft.com/office/drawing/2014/main" id="{00000000-0008-0000-0200-0000E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1" name="Text Box 330">
          <a:extLst>
            <a:ext uri="{FF2B5EF4-FFF2-40B4-BE49-F238E27FC236}">
              <a16:creationId xmlns:a16="http://schemas.microsoft.com/office/drawing/2014/main" id="{00000000-0008-0000-0200-0000E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2" name="Text Box 331">
          <a:extLst>
            <a:ext uri="{FF2B5EF4-FFF2-40B4-BE49-F238E27FC236}">
              <a16:creationId xmlns:a16="http://schemas.microsoft.com/office/drawing/2014/main" id="{00000000-0008-0000-0200-0000E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3" name="Text Box 332">
          <a:extLst>
            <a:ext uri="{FF2B5EF4-FFF2-40B4-BE49-F238E27FC236}">
              <a16:creationId xmlns:a16="http://schemas.microsoft.com/office/drawing/2014/main" id="{00000000-0008-0000-0200-0000E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4" name="Text Box 333">
          <a:extLst>
            <a:ext uri="{FF2B5EF4-FFF2-40B4-BE49-F238E27FC236}">
              <a16:creationId xmlns:a16="http://schemas.microsoft.com/office/drawing/2014/main" id="{00000000-0008-0000-0200-0000E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5" name="Text Box 334">
          <a:extLst>
            <a:ext uri="{FF2B5EF4-FFF2-40B4-BE49-F238E27FC236}">
              <a16:creationId xmlns:a16="http://schemas.microsoft.com/office/drawing/2014/main" id="{00000000-0008-0000-0200-0000E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76" name="Text Box 335">
          <a:extLst>
            <a:ext uri="{FF2B5EF4-FFF2-40B4-BE49-F238E27FC236}">
              <a16:creationId xmlns:a16="http://schemas.microsoft.com/office/drawing/2014/main" id="{00000000-0008-0000-0200-0000F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77" name="Text Box 336">
          <a:extLst>
            <a:ext uri="{FF2B5EF4-FFF2-40B4-BE49-F238E27FC236}">
              <a16:creationId xmlns:a16="http://schemas.microsoft.com/office/drawing/2014/main" id="{00000000-0008-0000-0200-0000F1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78" name="Text Box 337">
          <a:extLst>
            <a:ext uri="{FF2B5EF4-FFF2-40B4-BE49-F238E27FC236}">
              <a16:creationId xmlns:a16="http://schemas.microsoft.com/office/drawing/2014/main" id="{00000000-0008-0000-0200-0000F2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79" name="Text Box 338">
          <a:extLst>
            <a:ext uri="{FF2B5EF4-FFF2-40B4-BE49-F238E27FC236}">
              <a16:creationId xmlns:a16="http://schemas.microsoft.com/office/drawing/2014/main" id="{00000000-0008-0000-0200-0000F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80" name="Text Box 339">
          <a:extLst>
            <a:ext uri="{FF2B5EF4-FFF2-40B4-BE49-F238E27FC236}">
              <a16:creationId xmlns:a16="http://schemas.microsoft.com/office/drawing/2014/main" id="{00000000-0008-0000-0200-0000F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81" name="Text Box 340">
          <a:extLst>
            <a:ext uri="{FF2B5EF4-FFF2-40B4-BE49-F238E27FC236}">
              <a16:creationId xmlns:a16="http://schemas.microsoft.com/office/drawing/2014/main" id="{00000000-0008-0000-0200-0000F5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82" name="Text Box 341">
          <a:extLst>
            <a:ext uri="{FF2B5EF4-FFF2-40B4-BE49-F238E27FC236}">
              <a16:creationId xmlns:a16="http://schemas.microsoft.com/office/drawing/2014/main" id="{00000000-0008-0000-0200-0000F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83" name="Text Box 342">
          <a:extLst>
            <a:ext uri="{FF2B5EF4-FFF2-40B4-BE49-F238E27FC236}">
              <a16:creationId xmlns:a16="http://schemas.microsoft.com/office/drawing/2014/main" id="{00000000-0008-0000-0200-0000F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784" name="Text Box 343">
          <a:extLst>
            <a:ext uri="{FF2B5EF4-FFF2-40B4-BE49-F238E27FC236}">
              <a16:creationId xmlns:a16="http://schemas.microsoft.com/office/drawing/2014/main" id="{00000000-0008-0000-0200-0000F8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85" name="Text Box 344">
          <a:extLst>
            <a:ext uri="{FF2B5EF4-FFF2-40B4-BE49-F238E27FC236}">
              <a16:creationId xmlns:a16="http://schemas.microsoft.com/office/drawing/2014/main" id="{00000000-0008-0000-0200-0000F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786" name="Text Box 345">
          <a:extLst>
            <a:ext uri="{FF2B5EF4-FFF2-40B4-BE49-F238E27FC236}">
              <a16:creationId xmlns:a16="http://schemas.microsoft.com/office/drawing/2014/main" id="{00000000-0008-0000-0200-0000F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87" name="Text Box 346">
          <a:extLst>
            <a:ext uri="{FF2B5EF4-FFF2-40B4-BE49-F238E27FC236}">
              <a16:creationId xmlns:a16="http://schemas.microsoft.com/office/drawing/2014/main" id="{00000000-0008-0000-0200-0000F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88" name="Text Box 347">
          <a:extLst>
            <a:ext uri="{FF2B5EF4-FFF2-40B4-BE49-F238E27FC236}">
              <a16:creationId xmlns:a16="http://schemas.microsoft.com/office/drawing/2014/main" id="{00000000-0008-0000-0200-0000F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89" name="Text Box 348">
          <a:extLst>
            <a:ext uri="{FF2B5EF4-FFF2-40B4-BE49-F238E27FC236}">
              <a16:creationId xmlns:a16="http://schemas.microsoft.com/office/drawing/2014/main" id="{00000000-0008-0000-0200-0000F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0" name="Text Box 349">
          <a:extLst>
            <a:ext uri="{FF2B5EF4-FFF2-40B4-BE49-F238E27FC236}">
              <a16:creationId xmlns:a16="http://schemas.microsoft.com/office/drawing/2014/main" id="{00000000-0008-0000-0200-0000F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1" name="Text Box 350">
          <a:extLst>
            <a:ext uri="{FF2B5EF4-FFF2-40B4-BE49-F238E27FC236}">
              <a16:creationId xmlns:a16="http://schemas.microsoft.com/office/drawing/2014/main" id="{00000000-0008-0000-0200-0000F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2" name="Text Box 351">
          <a:extLst>
            <a:ext uri="{FF2B5EF4-FFF2-40B4-BE49-F238E27FC236}">
              <a16:creationId xmlns:a16="http://schemas.microsoft.com/office/drawing/2014/main" id="{00000000-0008-0000-0200-00000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3" name="Text Box 352">
          <a:extLst>
            <a:ext uri="{FF2B5EF4-FFF2-40B4-BE49-F238E27FC236}">
              <a16:creationId xmlns:a16="http://schemas.microsoft.com/office/drawing/2014/main" id="{00000000-0008-0000-0200-00000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4" name="Text Box 353">
          <a:extLst>
            <a:ext uri="{FF2B5EF4-FFF2-40B4-BE49-F238E27FC236}">
              <a16:creationId xmlns:a16="http://schemas.microsoft.com/office/drawing/2014/main" id="{00000000-0008-0000-0200-00000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5" name="Text Box 354">
          <a:extLst>
            <a:ext uri="{FF2B5EF4-FFF2-40B4-BE49-F238E27FC236}">
              <a16:creationId xmlns:a16="http://schemas.microsoft.com/office/drawing/2014/main" id="{00000000-0008-0000-0200-00000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6" name="Text Box 355">
          <a:extLst>
            <a:ext uri="{FF2B5EF4-FFF2-40B4-BE49-F238E27FC236}">
              <a16:creationId xmlns:a16="http://schemas.microsoft.com/office/drawing/2014/main" id="{00000000-0008-0000-0200-00000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7" name="Text Box 356">
          <a:extLst>
            <a:ext uri="{FF2B5EF4-FFF2-40B4-BE49-F238E27FC236}">
              <a16:creationId xmlns:a16="http://schemas.microsoft.com/office/drawing/2014/main" id="{00000000-0008-0000-0200-00000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8" name="Text Box 357">
          <a:extLst>
            <a:ext uri="{FF2B5EF4-FFF2-40B4-BE49-F238E27FC236}">
              <a16:creationId xmlns:a16="http://schemas.microsoft.com/office/drawing/2014/main" id="{00000000-0008-0000-0200-00000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799" name="Text Box 358">
          <a:extLst>
            <a:ext uri="{FF2B5EF4-FFF2-40B4-BE49-F238E27FC236}">
              <a16:creationId xmlns:a16="http://schemas.microsoft.com/office/drawing/2014/main" id="{00000000-0008-0000-0200-00000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0" name="Text Box 359">
          <a:extLst>
            <a:ext uri="{FF2B5EF4-FFF2-40B4-BE49-F238E27FC236}">
              <a16:creationId xmlns:a16="http://schemas.microsoft.com/office/drawing/2014/main" id="{00000000-0008-0000-0200-00000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1" name="Text Box 360">
          <a:extLst>
            <a:ext uri="{FF2B5EF4-FFF2-40B4-BE49-F238E27FC236}">
              <a16:creationId xmlns:a16="http://schemas.microsoft.com/office/drawing/2014/main" id="{00000000-0008-0000-0200-00000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2" name="Text Box 361">
          <a:extLst>
            <a:ext uri="{FF2B5EF4-FFF2-40B4-BE49-F238E27FC236}">
              <a16:creationId xmlns:a16="http://schemas.microsoft.com/office/drawing/2014/main" id="{00000000-0008-0000-0200-00000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3" name="Text Box 362">
          <a:extLst>
            <a:ext uri="{FF2B5EF4-FFF2-40B4-BE49-F238E27FC236}">
              <a16:creationId xmlns:a16="http://schemas.microsoft.com/office/drawing/2014/main" id="{00000000-0008-0000-0200-00000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4" name="Text Box 363">
          <a:extLst>
            <a:ext uri="{FF2B5EF4-FFF2-40B4-BE49-F238E27FC236}">
              <a16:creationId xmlns:a16="http://schemas.microsoft.com/office/drawing/2014/main" id="{00000000-0008-0000-0200-00000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5" name="Text Box 364">
          <a:extLst>
            <a:ext uri="{FF2B5EF4-FFF2-40B4-BE49-F238E27FC236}">
              <a16:creationId xmlns:a16="http://schemas.microsoft.com/office/drawing/2014/main" id="{00000000-0008-0000-0200-00000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6" name="Text Box 365">
          <a:extLst>
            <a:ext uri="{FF2B5EF4-FFF2-40B4-BE49-F238E27FC236}">
              <a16:creationId xmlns:a16="http://schemas.microsoft.com/office/drawing/2014/main" id="{00000000-0008-0000-0200-00000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7" name="Text Box 366">
          <a:extLst>
            <a:ext uri="{FF2B5EF4-FFF2-40B4-BE49-F238E27FC236}">
              <a16:creationId xmlns:a16="http://schemas.microsoft.com/office/drawing/2014/main" id="{00000000-0008-0000-0200-00000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8" name="Text Box 367">
          <a:extLst>
            <a:ext uri="{FF2B5EF4-FFF2-40B4-BE49-F238E27FC236}">
              <a16:creationId xmlns:a16="http://schemas.microsoft.com/office/drawing/2014/main" id="{00000000-0008-0000-0200-00001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09" name="Text Box 368">
          <a:extLst>
            <a:ext uri="{FF2B5EF4-FFF2-40B4-BE49-F238E27FC236}">
              <a16:creationId xmlns:a16="http://schemas.microsoft.com/office/drawing/2014/main" id="{00000000-0008-0000-0200-00001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10" name="Text Box 369">
          <a:extLst>
            <a:ext uri="{FF2B5EF4-FFF2-40B4-BE49-F238E27FC236}">
              <a16:creationId xmlns:a16="http://schemas.microsoft.com/office/drawing/2014/main" id="{00000000-0008-0000-0200-00001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11" name="Text Box 370">
          <a:extLst>
            <a:ext uri="{FF2B5EF4-FFF2-40B4-BE49-F238E27FC236}">
              <a16:creationId xmlns:a16="http://schemas.microsoft.com/office/drawing/2014/main" id="{00000000-0008-0000-0200-00001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12" name="Text Box 371">
          <a:extLst>
            <a:ext uri="{FF2B5EF4-FFF2-40B4-BE49-F238E27FC236}">
              <a16:creationId xmlns:a16="http://schemas.microsoft.com/office/drawing/2014/main" id="{00000000-0008-0000-0200-00001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13" name="Text Box 372">
          <a:extLst>
            <a:ext uri="{FF2B5EF4-FFF2-40B4-BE49-F238E27FC236}">
              <a16:creationId xmlns:a16="http://schemas.microsoft.com/office/drawing/2014/main" id="{00000000-0008-0000-0200-00001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814" name="Text Box 373">
          <a:extLst>
            <a:ext uri="{FF2B5EF4-FFF2-40B4-BE49-F238E27FC236}">
              <a16:creationId xmlns:a16="http://schemas.microsoft.com/office/drawing/2014/main" id="{00000000-0008-0000-0200-00001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815" name="Text Box 374">
          <a:extLst>
            <a:ext uri="{FF2B5EF4-FFF2-40B4-BE49-F238E27FC236}">
              <a16:creationId xmlns:a16="http://schemas.microsoft.com/office/drawing/2014/main" id="{00000000-0008-0000-0200-000017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16" name="Text Box 375">
          <a:extLst>
            <a:ext uri="{FF2B5EF4-FFF2-40B4-BE49-F238E27FC236}">
              <a16:creationId xmlns:a16="http://schemas.microsoft.com/office/drawing/2014/main" id="{00000000-0008-0000-0200-00001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17" name="Text Box 376">
          <a:extLst>
            <a:ext uri="{FF2B5EF4-FFF2-40B4-BE49-F238E27FC236}">
              <a16:creationId xmlns:a16="http://schemas.microsoft.com/office/drawing/2014/main" id="{00000000-0008-0000-0200-00001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818" name="Text Box 377">
          <a:extLst>
            <a:ext uri="{FF2B5EF4-FFF2-40B4-BE49-F238E27FC236}">
              <a16:creationId xmlns:a16="http://schemas.microsoft.com/office/drawing/2014/main" id="{00000000-0008-0000-0200-00001A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19" name="Text Box 378">
          <a:extLst>
            <a:ext uri="{FF2B5EF4-FFF2-40B4-BE49-F238E27FC236}">
              <a16:creationId xmlns:a16="http://schemas.microsoft.com/office/drawing/2014/main" id="{00000000-0008-0000-0200-00001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20" name="Text Box 379">
          <a:extLst>
            <a:ext uri="{FF2B5EF4-FFF2-40B4-BE49-F238E27FC236}">
              <a16:creationId xmlns:a16="http://schemas.microsoft.com/office/drawing/2014/main" id="{00000000-0008-0000-0200-00001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821" name="Text Box 380">
          <a:extLst>
            <a:ext uri="{FF2B5EF4-FFF2-40B4-BE49-F238E27FC236}">
              <a16:creationId xmlns:a16="http://schemas.microsoft.com/office/drawing/2014/main" id="{00000000-0008-0000-0200-00001D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22" name="Text Box 381">
          <a:extLst>
            <a:ext uri="{FF2B5EF4-FFF2-40B4-BE49-F238E27FC236}">
              <a16:creationId xmlns:a16="http://schemas.microsoft.com/office/drawing/2014/main" id="{00000000-0008-0000-0200-00001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23" name="Text Box 382">
          <a:extLst>
            <a:ext uri="{FF2B5EF4-FFF2-40B4-BE49-F238E27FC236}">
              <a16:creationId xmlns:a16="http://schemas.microsoft.com/office/drawing/2014/main" id="{00000000-0008-0000-0200-00001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4" name="Text Box 383">
          <a:extLst>
            <a:ext uri="{FF2B5EF4-FFF2-40B4-BE49-F238E27FC236}">
              <a16:creationId xmlns:a16="http://schemas.microsoft.com/office/drawing/2014/main" id="{00000000-0008-0000-0200-00002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5" name="Text Box 384">
          <a:extLst>
            <a:ext uri="{FF2B5EF4-FFF2-40B4-BE49-F238E27FC236}">
              <a16:creationId xmlns:a16="http://schemas.microsoft.com/office/drawing/2014/main" id="{00000000-0008-0000-0200-00002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6" name="Text Box 385">
          <a:extLst>
            <a:ext uri="{FF2B5EF4-FFF2-40B4-BE49-F238E27FC236}">
              <a16:creationId xmlns:a16="http://schemas.microsoft.com/office/drawing/2014/main" id="{00000000-0008-0000-0200-00002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7" name="Text Box 386">
          <a:extLst>
            <a:ext uri="{FF2B5EF4-FFF2-40B4-BE49-F238E27FC236}">
              <a16:creationId xmlns:a16="http://schemas.microsoft.com/office/drawing/2014/main" id="{00000000-0008-0000-0200-00002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8" name="Text Box 387">
          <a:extLst>
            <a:ext uri="{FF2B5EF4-FFF2-40B4-BE49-F238E27FC236}">
              <a16:creationId xmlns:a16="http://schemas.microsoft.com/office/drawing/2014/main" id="{00000000-0008-0000-0200-00002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29" name="Text Box 388">
          <a:extLst>
            <a:ext uri="{FF2B5EF4-FFF2-40B4-BE49-F238E27FC236}">
              <a16:creationId xmlns:a16="http://schemas.microsoft.com/office/drawing/2014/main" id="{00000000-0008-0000-0200-00002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0" name="Text Box 389">
          <a:extLst>
            <a:ext uri="{FF2B5EF4-FFF2-40B4-BE49-F238E27FC236}">
              <a16:creationId xmlns:a16="http://schemas.microsoft.com/office/drawing/2014/main" id="{00000000-0008-0000-0200-00002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1" name="Text Box 390">
          <a:extLst>
            <a:ext uri="{FF2B5EF4-FFF2-40B4-BE49-F238E27FC236}">
              <a16:creationId xmlns:a16="http://schemas.microsoft.com/office/drawing/2014/main" id="{00000000-0008-0000-0200-00002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2" name="Text Box 391">
          <a:extLst>
            <a:ext uri="{FF2B5EF4-FFF2-40B4-BE49-F238E27FC236}">
              <a16:creationId xmlns:a16="http://schemas.microsoft.com/office/drawing/2014/main" id="{00000000-0008-0000-0200-00002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3" name="Text Box 392">
          <a:extLst>
            <a:ext uri="{FF2B5EF4-FFF2-40B4-BE49-F238E27FC236}">
              <a16:creationId xmlns:a16="http://schemas.microsoft.com/office/drawing/2014/main" id="{00000000-0008-0000-0200-00002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4" name="Text Box 393">
          <a:extLst>
            <a:ext uri="{FF2B5EF4-FFF2-40B4-BE49-F238E27FC236}">
              <a16:creationId xmlns:a16="http://schemas.microsoft.com/office/drawing/2014/main" id="{00000000-0008-0000-0200-00002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5" name="Text Box 394">
          <a:extLst>
            <a:ext uri="{FF2B5EF4-FFF2-40B4-BE49-F238E27FC236}">
              <a16:creationId xmlns:a16="http://schemas.microsoft.com/office/drawing/2014/main" id="{00000000-0008-0000-0200-00002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6" name="Text Box 395">
          <a:extLst>
            <a:ext uri="{FF2B5EF4-FFF2-40B4-BE49-F238E27FC236}">
              <a16:creationId xmlns:a16="http://schemas.microsoft.com/office/drawing/2014/main" id="{00000000-0008-0000-0200-00002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7" name="Text Box 396">
          <a:extLst>
            <a:ext uri="{FF2B5EF4-FFF2-40B4-BE49-F238E27FC236}">
              <a16:creationId xmlns:a16="http://schemas.microsoft.com/office/drawing/2014/main" id="{00000000-0008-0000-0200-00002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8" name="Text Box 397">
          <a:extLst>
            <a:ext uri="{FF2B5EF4-FFF2-40B4-BE49-F238E27FC236}">
              <a16:creationId xmlns:a16="http://schemas.microsoft.com/office/drawing/2014/main" id="{00000000-0008-0000-0200-00002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39" name="Text Box 398">
          <a:extLst>
            <a:ext uri="{FF2B5EF4-FFF2-40B4-BE49-F238E27FC236}">
              <a16:creationId xmlns:a16="http://schemas.microsoft.com/office/drawing/2014/main" id="{00000000-0008-0000-0200-00002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0" name="Text Box 399">
          <a:extLst>
            <a:ext uri="{FF2B5EF4-FFF2-40B4-BE49-F238E27FC236}">
              <a16:creationId xmlns:a16="http://schemas.microsoft.com/office/drawing/2014/main" id="{00000000-0008-0000-0200-00003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1" name="Text Box 400">
          <a:extLst>
            <a:ext uri="{FF2B5EF4-FFF2-40B4-BE49-F238E27FC236}">
              <a16:creationId xmlns:a16="http://schemas.microsoft.com/office/drawing/2014/main" id="{00000000-0008-0000-0200-00003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2" name="Text Box 401">
          <a:extLst>
            <a:ext uri="{FF2B5EF4-FFF2-40B4-BE49-F238E27FC236}">
              <a16:creationId xmlns:a16="http://schemas.microsoft.com/office/drawing/2014/main" id="{00000000-0008-0000-0200-00003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3" name="Text Box 402">
          <a:extLst>
            <a:ext uri="{FF2B5EF4-FFF2-40B4-BE49-F238E27FC236}">
              <a16:creationId xmlns:a16="http://schemas.microsoft.com/office/drawing/2014/main" id="{00000000-0008-0000-0200-00003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4" name="Text Box 403">
          <a:extLst>
            <a:ext uri="{FF2B5EF4-FFF2-40B4-BE49-F238E27FC236}">
              <a16:creationId xmlns:a16="http://schemas.microsoft.com/office/drawing/2014/main" id="{00000000-0008-0000-0200-00003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5" name="Text Box 404">
          <a:extLst>
            <a:ext uri="{FF2B5EF4-FFF2-40B4-BE49-F238E27FC236}">
              <a16:creationId xmlns:a16="http://schemas.microsoft.com/office/drawing/2014/main" id="{00000000-0008-0000-0200-00003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6" name="Text Box 405">
          <a:extLst>
            <a:ext uri="{FF2B5EF4-FFF2-40B4-BE49-F238E27FC236}">
              <a16:creationId xmlns:a16="http://schemas.microsoft.com/office/drawing/2014/main" id="{00000000-0008-0000-0200-00003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7" name="Text Box 406">
          <a:extLst>
            <a:ext uri="{FF2B5EF4-FFF2-40B4-BE49-F238E27FC236}">
              <a16:creationId xmlns:a16="http://schemas.microsoft.com/office/drawing/2014/main" id="{00000000-0008-0000-0200-00003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8" name="Text Box 407">
          <a:extLst>
            <a:ext uri="{FF2B5EF4-FFF2-40B4-BE49-F238E27FC236}">
              <a16:creationId xmlns:a16="http://schemas.microsoft.com/office/drawing/2014/main" id="{00000000-0008-0000-0200-00003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49" name="Text Box 408">
          <a:extLst>
            <a:ext uri="{FF2B5EF4-FFF2-40B4-BE49-F238E27FC236}">
              <a16:creationId xmlns:a16="http://schemas.microsoft.com/office/drawing/2014/main" id="{00000000-0008-0000-0200-00003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50" name="Text Box 409">
          <a:extLst>
            <a:ext uri="{FF2B5EF4-FFF2-40B4-BE49-F238E27FC236}">
              <a16:creationId xmlns:a16="http://schemas.microsoft.com/office/drawing/2014/main" id="{00000000-0008-0000-0200-00003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1851" name="Text Box 410">
          <a:extLst>
            <a:ext uri="{FF2B5EF4-FFF2-40B4-BE49-F238E27FC236}">
              <a16:creationId xmlns:a16="http://schemas.microsoft.com/office/drawing/2014/main" id="{00000000-0008-0000-0200-00003B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852" name="Text Box 411">
          <a:extLst>
            <a:ext uri="{FF2B5EF4-FFF2-40B4-BE49-F238E27FC236}">
              <a16:creationId xmlns:a16="http://schemas.microsoft.com/office/drawing/2014/main" id="{00000000-0008-0000-0200-00003C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53" name="Text Box 412">
          <a:extLst>
            <a:ext uri="{FF2B5EF4-FFF2-40B4-BE49-F238E27FC236}">
              <a16:creationId xmlns:a16="http://schemas.microsoft.com/office/drawing/2014/main" id="{00000000-0008-0000-0200-00003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54" name="Text Box 413">
          <a:extLst>
            <a:ext uri="{FF2B5EF4-FFF2-40B4-BE49-F238E27FC236}">
              <a16:creationId xmlns:a16="http://schemas.microsoft.com/office/drawing/2014/main" id="{00000000-0008-0000-0200-00003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855" name="Text Box 414">
          <a:extLst>
            <a:ext uri="{FF2B5EF4-FFF2-40B4-BE49-F238E27FC236}">
              <a16:creationId xmlns:a16="http://schemas.microsoft.com/office/drawing/2014/main" id="{00000000-0008-0000-0200-00003F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56" name="Text Box 415">
          <a:extLst>
            <a:ext uri="{FF2B5EF4-FFF2-40B4-BE49-F238E27FC236}">
              <a16:creationId xmlns:a16="http://schemas.microsoft.com/office/drawing/2014/main" id="{00000000-0008-0000-0200-00004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57" name="Text Box 416">
          <a:extLst>
            <a:ext uri="{FF2B5EF4-FFF2-40B4-BE49-F238E27FC236}">
              <a16:creationId xmlns:a16="http://schemas.microsoft.com/office/drawing/2014/main" id="{00000000-0008-0000-0200-00004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858" name="Text Box 417">
          <a:extLst>
            <a:ext uri="{FF2B5EF4-FFF2-40B4-BE49-F238E27FC236}">
              <a16:creationId xmlns:a16="http://schemas.microsoft.com/office/drawing/2014/main" id="{00000000-0008-0000-0200-000042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59" name="Text Box 418">
          <a:extLst>
            <a:ext uri="{FF2B5EF4-FFF2-40B4-BE49-F238E27FC236}">
              <a16:creationId xmlns:a16="http://schemas.microsoft.com/office/drawing/2014/main" id="{00000000-0008-0000-0200-00004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60" name="Text Box 419">
          <a:extLst>
            <a:ext uri="{FF2B5EF4-FFF2-40B4-BE49-F238E27FC236}">
              <a16:creationId xmlns:a16="http://schemas.microsoft.com/office/drawing/2014/main" id="{00000000-0008-0000-0200-00004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1" name="Text Box 420">
          <a:extLst>
            <a:ext uri="{FF2B5EF4-FFF2-40B4-BE49-F238E27FC236}">
              <a16:creationId xmlns:a16="http://schemas.microsoft.com/office/drawing/2014/main" id="{00000000-0008-0000-0200-00004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2" name="Text Box 421">
          <a:extLst>
            <a:ext uri="{FF2B5EF4-FFF2-40B4-BE49-F238E27FC236}">
              <a16:creationId xmlns:a16="http://schemas.microsoft.com/office/drawing/2014/main" id="{00000000-0008-0000-0200-00004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3" name="Text Box 422">
          <a:extLst>
            <a:ext uri="{FF2B5EF4-FFF2-40B4-BE49-F238E27FC236}">
              <a16:creationId xmlns:a16="http://schemas.microsoft.com/office/drawing/2014/main" id="{00000000-0008-0000-0200-00004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4" name="Text Box 423">
          <a:extLst>
            <a:ext uri="{FF2B5EF4-FFF2-40B4-BE49-F238E27FC236}">
              <a16:creationId xmlns:a16="http://schemas.microsoft.com/office/drawing/2014/main" id="{00000000-0008-0000-0200-00004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5" name="Text Box 424">
          <a:extLst>
            <a:ext uri="{FF2B5EF4-FFF2-40B4-BE49-F238E27FC236}">
              <a16:creationId xmlns:a16="http://schemas.microsoft.com/office/drawing/2014/main" id="{00000000-0008-0000-0200-00004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6" name="Text Box 425">
          <a:extLst>
            <a:ext uri="{FF2B5EF4-FFF2-40B4-BE49-F238E27FC236}">
              <a16:creationId xmlns:a16="http://schemas.microsoft.com/office/drawing/2014/main" id="{00000000-0008-0000-0200-00004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7" name="Text Box 426">
          <a:extLst>
            <a:ext uri="{FF2B5EF4-FFF2-40B4-BE49-F238E27FC236}">
              <a16:creationId xmlns:a16="http://schemas.microsoft.com/office/drawing/2014/main" id="{00000000-0008-0000-0200-00004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8" name="Text Box 427">
          <a:extLst>
            <a:ext uri="{FF2B5EF4-FFF2-40B4-BE49-F238E27FC236}">
              <a16:creationId xmlns:a16="http://schemas.microsoft.com/office/drawing/2014/main" id="{00000000-0008-0000-0200-00004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69" name="Text Box 428">
          <a:extLst>
            <a:ext uri="{FF2B5EF4-FFF2-40B4-BE49-F238E27FC236}">
              <a16:creationId xmlns:a16="http://schemas.microsoft.com/office/drawing/2014/main" id="{00000000-0008-0000-0200-00004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0" name="Text Box 429">
          <a:extLst>
            <a:ext uri="{FF2B5EF4-FFF2-40B4-BE49-F238E27FC236}">
              <a16:creationId xmlns:a16="http://schemas.microsoft.com/office/drawing/2014/main" id="{00000000-0008-0000-0200-00004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1" name="Text Box 430">
          <a:extLst>
            <a:ext uri="{FF2B5EF4-FFF2-40B4-BE49-F238E27FC236}">
              <a16:creationId xmlns:a16="http://schemas.microsoft.com/office/drawing/2014/main" id="{00000000-0008-0000-0200-00004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2" name="Text Box 431">
          <a:extLst>
            <a:ext uri="{FF2B5EF4-FFF2-40B4-BE49-F238E27FC236}">
              <a16:creationId xmlns:a16="http://schemas.microsoft.com/office/drawing/2014/main" id="{00000000-0008-0000-0200-00005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3" name="Text Box 432">
          <a:extLst>
            <a:ext uri="{FF2B5EF4-FFF2-40B4-BE49-F238E27FC236}">
              <a16:creationId xmlns:a16="http://schemas.microsoft.com/office/drawing/2014/main" id="{00000000-0008-0000-0200-00005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4" name="Text Box 433">
          <a:extLst>
            <a:ext uri="{FF2B5EF4-FFF2-40B4-BE49-F238E27FC236}">
              <a16:creationId xmlns:a16="http://schemas.microsoft.com/office/drawing/2014/main" id="{00000000-0008-0000-0200-00005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5" name="Text Box 434">
          <a:extLst>
            <a:ext uri="{FF2B5EF4-FFF2-40B4-BE49-F238E27FC236}">
              <a16:creationId xmlns:a16="http://schemas.microsoft.com/office/drawing/2014/main" id="{00000000-0008-0000-0200-00005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6" name="Text Box 435">
          <a:extLst>
            <a:ext uri="{FF2B5EF4-FFF2-40B4-BE49-F238E27FC236}">
              <a16:creationId xmlns:a16="http://schemas.microsoft.com/office/drawing/2014/main" id="{00000000-0008-0000-0200-00005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7" name="Text Box 436">
          <a:extLst>
            <a:ext uri="{FF2B5EF4-FFF2-40B4-BE49-F238E27FC236}">
              <a16:creationId xmlns:a16="http://schemas.microsoft.com/office/drawing/2014/main" id="{00000000-0008-0000-0200-00005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8" name="Text Box 437">
          <a:extLst>
            <a:ext uri="{FF2B5EF4-FFF2-40B4-BE49-F238E27FC236}">
              <a16:creationId xmlns:a16="http://schemas.microsoft.com/office/drawing/2014/main" id="{00000000-0008-0000-0200-00005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79" name="Text Box 438">
          <a:extLst>
            <a:ext uri="{FF2B5EF4-FFF2-40B4-BE49-F238E27FC236}">
              <a16:creationId xmlns:a16="http://schemas.microsoft.com/office/drawing/2014/main" id="{00000000-0008-0000-0200-00005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0" name="Text Box 439">
          <a:extLst>
            <a:ext uri="{FF2B5EF4-FFF2-40B4-BE49-F238E27FC236}">
              <a16:creationId xmlns:a16="http://schemas.microsoft.com/office/drawing/2014/main" id="{00000000-0008-0000-0200-00005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1" name="Text Box 440">
          <a:extLst>
            <a:ext uri="{FF2B5EF4-FFF2-40B4-BE49-F238E27FC236}">
              <a16:creationId xmlns:a16="http://schemas.microsoft.com/office/drawing/2014/main" id="{00000000-0008-0000-0200-00005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2" name="Text Box 441">
          <a:extLst>
            <a:ext uri="{FF2B5EF4-FFF2-40B4-BE49-F238E27FC236}">
              <a16:creationId xmlns:a16="http://schemas.microsoft.com/office/drawing/2014/main" id="{00000000-0008-0000-0200-00005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3" name="Text Box 442">
          <a:extLst>
            <a:ext uri="{FF2B5EF4-FFF2-40B4-BE49-F238E27FC236}">
              <a16:creationId xmlns:a16="http://schemas.microsoft.com/office/drawing/2014/main" id="{00000000-0008-0000-0200-00005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4" name="Text Box 443">
          <a:extLst>
            <a:ext uri="{FF2B5EF4-FFF2-40B4-BE49-F238E27FC236}">
              <a16:creationId xmlns:a16="http://schemas.microsoft.com/office/drawing/2014/main" id="{00000000-0008-0000-0200-00005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5" name="Text Box 444">
          <a:extLst>
            <a:ext uri="{FF2B5EF4-FFF2-40B4-BE49-F238E27FC236}">
              <a16:creationId xmlns:a16="http://schemas.microsoft.com/office/drawing/2014/main" id="{00000000-0008-0000-0200-00005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6" name="Text Box 445">
          <a:extLst>
            <a:ext uri="{FF2B5EF4-FFF2-40B4-BE49-F238E27FC236}">
              <a16:creationId xmlns:a16="http://schemas.microsoft.com/office/drawing/2014/main" id="{00000000-0008-0000-0200-00005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324</xdr:row>
      <xdr:rowOff>0</xdr:rowOff>
    </xdr:from>
    <xdr:ext cx="95250" cy="19050"/>
    <xdr:sp macro="" textlink="">
      <xdr:nvSpPr>
        <xdr:cNvPr id="1887" name="Text Box 446">
          <a:extLst>
            <a:ext uri="{FF2B5EF4-FFF2-40B4-BE49-F238E27FC236}">
              <a16:creationId xmlns:a16="http://schemas.microsoft.com/office/drawing/2014/main" id="{00000000-0008-0000-0200-00005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888" name="Text Box 447">
          <a:extLst>
            <a:ext uri="{FF2B5EF4-FFF2-40B4-BE49-F238E27FC236}">
              <a16:creationId xmlns:a16="http://schemas.microsoft.com/office/drawing/2014/main" id="{00000000-0008-0000-0200-00006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89" name="Text Box 448">
          <a:extLst>
            <a:ext uri="{FF2B5EF4-FFF2-40B4-BE49-F238E27FC236}">
              <a16:creationId xmlns:a16="http://schemas.microsoft.com/office/drawing/2014/main" id="{00000000-0008-0000-0200-00006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0" name="Text Box 449">
          <a:extLst>
            <a:ext uri="{FF2B5EF4-FFF2-40B4-BE49-F238E27FC236}">
              <a16:creationId xmlns:a16="http://schemas.microsoft.com/office/drawing/2014/main" id="{00000000-0008-0000-0200-00006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891" name="Text Box 450">
          <a:extLst>
            <a:ext uri="{FF2B5EF4-FFF2-40B4-BE49-F238E27FC236}">
              <a16:creationId xmlns:a16="http://schemas.microsoft.com/office/drawing/2014/main" id="{00000000-0008-0000-0200-00006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2" name="Text Box 451">
          <a:extLst>
            <a:ext uri="{FF2B5EF4-FFF2-40B4-BE49-F238E27FC236}">
              <a16:creationId xmlns:a16="http://schemas.microsoft.com/office/drawing/2014/main" id="{00000000-0008-0000-0200-00006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3" name="Text Box 452">
          <a:extLst>
            <a:ext uri="{FF2B5EF4-FFF2-40B4-BE49-F238E27FC236}">
              <a16:creationId xmlns:a16="http://schemas.microsoft.com/office/drawing/2014/main" id="{00000000-0008-0000-0200-00006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894" name="Text Box 453">
          <a:extLst>
            <a:ext uri="{FF2B5EF4-FFF2-40B4-BE49-F238E27FC236}">
              <a16:creationId xmlns:a16="http://schemas.microsoft.com/office/drawing/2014/main" id="{00000000-0008-0000-0200-000066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5" name="Text Box 454">
          <a:extLst>
            <a:ext uri="{FF2B5EF4-FFF2-40B4-BE49-F238E27FC236}">
              <a16:creationId xmlns:a16="http://schemas.microsoft.com/office/drawing/2014/main" id="{00000000-0008-0000-0200-00006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6" name="Text Box 455">
          <a:extLst>
            <a:ext uri="{FF2B5EF4-FFF2-40B4-BE49-F238E27FC236}">
              <a16:creationId xmlns:a16="http://schemas.microsoft.com/office/drawing/2014/main" id="{00000000-0008-0000-0200-00006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897" name="Text Box 456">
          <a:extLst>
            <a:ext uri="{FF2B5EF4-FFF2-40B4-BE49-F238E27FC236}">
              <a16:creationId xmlns:a16="http://schemas.microsoft.com/office/drawing/2014/main" id="{00000000-0008-0000-0200-000069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898" name="Text Box 457">
          <a:extLst>
            <a:ext uri="{FF2B5EF4-FFF2-40B4-BE49-F238E27FC236}">
              <a16:creationId xmlns:a16="http://schemas.microsoft.com/office/drawing/2014/main" id="{00000000-0008-0000-0200-00006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899" name="Text Box 458">
          <a:extLst>
            <a:ext uri="{FF2B5EF4-FFF2-40B4-BE49-F238E27FC236}">
              <a16:creationId xmlns:a16="http://schemas.microsoft.com/office/drawing/2014/main" id="{00000000-0008-0000-0200-00006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0" name="Text Box 459">
          <a:extLst>
            <a:ext uri="{FF2B5EF4-FFF2-40B4-BE49-F238E27FC236}">
              <a16:creationId xmlns:a16="http://schemas.microsoft.com/office/drawing/2014/main" id="{00000000-0008-0000-0200-00006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01" name="Text Box 460">
          <a:extLst>
            <a:ext uri="{FF2B5EF4-FFF2-40B4-BE49-F238E27FC236}">
              <a16:creationId xmlns:a16="http://schemas.microsoft.com/office/drawing/2014/main" id="{00000000-0008-0000-0200-00006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2" name="Text Box 461">
          <a:extLst>
            <a:ext uri="{FF2B5EF4-FFF2-40B4-BE49-F238E27FC236}">
              <a16:creationId xmlns:a16="http://schemas.microsoft.com/office/drawing/2014/main" id="{00000000-0008-0000-0200-00006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3" name="Text Box 462">
          <a:extLst>
            <a:ext uri="{FF2B5EF4-FFF2-40B4-BE49-F238E27FC236}">
              <a16:creationId xmlns:a16="http://schemas.microsoft.com/office/drawing/2014/main" id="{00000000-0008-0000-0200-00006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04" name="Text Box 463">
          <a:extLst>
            <a:ext uri="{FF2B5EF4-FFF2-40B4-BE49-F238E27FC236}">
              <a16:creationId xmlns:a16="http://schemas.microsoft.com/office/drawing/2014/main" id="{00000000-0008-0000-0200-00007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5" name="Text Box 464">
          <a:extLst>
            <a:ext uri="{FF2B5EF4-FFF2-40B4-BE49-F238E27FC236}">
              <a16:creationId xmlns:a16="http://schemas.microsoft.com/office/drawing/2014/main" id="{00000000-0008-0000-0200-00007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6" name="Text Box 465">
          <a:extLst>
            <a:ext uri="{FF2B5EF4-FFF2-40B4-BE49-F238E27FC236}">
              <a16:creationId xmlns:a16="http://schemas.microsoft.com/office/drawing/2014/main" id="{00000000-0008-0000-0200-00007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07" name="Text Box 466">
          <a:extLst>
            <a:ext uri="{FF2B5EF4-FFF2-40B4-BE49-F238E27FC236}">
              <a16:creationId xmlns:a16="http://schemas.microsoft.com/office/drawing/2014/main" id="{00000000-0008-0000-0200-00007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08" name="Text Box 467">
          <a:extLst>
            <a:ext uri="{FF2B5EF4-FFF2-40B4-BE49-F238E27FC236}">
              <a16:creationId xmlns:a16="http://schemas.microsoft.com/office/drawing/2014/main" id="{00000000-0008-0000-0200-00007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09" name="Text Box 468">
          <a:extLst>
            <a:ext uri="{FF2B5EF4-FFF2-40B4-BE49-F238E27FC236}">
              <a16:creationId xmlns:a16="http://schemas.microsoft.com/office/drawing/2014/main" id="{00000000-0008-0000-0200-00007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0" name="Text Box 469">
          <a:extLst>
            <a:ext uri="{FF2B5EF4-FFF2-40B4-BE49-F238E27FC236}">
              <a16:creationId xmlns:a16="http://schemas.microsoft.com/office/drawing/2014/main" id="{00000000-0008-0000-0200-00007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11" name="Text Box 470">
          <a:extLst>
            <a:ext uri="{FF2B5EF4-FFF2-40B4-BE49-F238E27FC236}">
              <a16:creationId xmlns:a16="http://schemas.microsoft.com/office/drawing/2014/main" id="{00000000-0008-0000-0200-00007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2" name="Text Box 471">
          <a:extLst>
            <a:ext uri="{FF2B5EF4-FFF2-40B4-BE49-F238E27FC236}">
              <a16:creationId xmlns:a16="http://schemas.microsoft.com/office/drawing/2014/main" id="{00000000-0008-0000-0200-00007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3" name="Text Box 472">
          <a:extLst>
            <a:ext uri="{FF2B5EF4-FFF2-40B4-BE49-F238E27FC236}">
              <a16:creationId xmlns:a16="http://schemas.microsoft.com/office/drawing/2014/main" id="{00000000-0008-0000-0200-00007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14" name="Text Box 473">
          <a:extLst>
            <a:ext uri="{FF2B5EF4-FFF2-40B4-BE49-F238E27FC236}">
              <a16:creationId xmlns:a16="http://schemas.microsoft.com/office/drawing/2014/main" id="{00000000-0008-0000-0200-00007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5" name="Text Box 474">
          <a:extLst>
            <a:ext uri="{FF2B5EF4-FFF2-40B4-BE49-F238E27FC236}">
              <a16:creationId xmlns:a16="http://schemas.microsoft.com/office/drawing/2014/main" id="{00000000-0008-0000-0200-00007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6" name="Text Box 475">
          <a:extLst>
            <a:ext uri="{FF2B5EF4-FFF2-40B4-BE49-F238E27FC236}">
              <a16:creationId xmlns:a16="http://schemas.microsoft.com/office/drawing/2014/main" id="{00000000-0008-0000-0200-00007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17" name="Text Box 476">
          <a:extLst>
            <a:ext uri="{FF2B5EF4-FFF2-40B4-BE49-F238E27FC236}">
              <a16:creationId xmlns:a16="http://schemas.microsoft.com/office/drawing/2014/main" id="{00000000-0008-0000-0200-00007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8" name="Text Box 477">
          <a:extLst>
            <a:ext uri="{FF2B5EF4-FFF2-40B4-BE49-F238E27FC236}">
              <a16:creationId xmlns:a16="http://schemas.microsoft.com/office/drawing/2014/main" id="{00000000-0008-0000-0200-00007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19" name="Text Box 478">
          <a:extLst>
            <a:ext uri="{FF2B5EF4-FFF2-40B4-BE49-F238E27FC236}">
              <a16:creationId xmlns:a16="http://schemas.microsoft.com/office/drawing/2014/main" id="{00000000-0008-0000-0200-00007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20" name="Text Box 479">
          <a:extLst>
            <a:ext uri="{FF2B5EF4-FFF2-40B4-BE49-F238E27FC236}">
              <a16:creationId xmlns:a16="http://schemas.microsoft.com/office/drawing/2014/main" id="{00000000-0008-0000-0200-00008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1" name="Text Box 480">
          <a:extLst>
            <a:ext uri="{FF2B5EF4-FFF2-40B4-BE49-F238E27FC236}">
              <a16:creationId xmlns:a16="http://schemas.microsoft.com/office/drawing/2014/main" id="{00000000-0008-0000-0200-00008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2" name="Text Box 481">
          <a:extLst>
            <a:ext uri="{FF2B5EF4-FFF2-40B4-BE49-F238E27FC236}">
              <a16:creationId xmlns:a16="http://schemas.microsoft.com/office/drawing/2014/main" id="{00000000-0008-0000-0200-00008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23" name="Text Box 482">
          <a:extLst>
            <a:ext uri="{FF2B5EF4-FFF2-40B4-BE49-F238E27FC236}">
              <a16:creationId xmlns:a16="http://schemas.microsoft.com/office/drawing/2014/main" id="{00000000-0008-0000-0200-000083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4" name="Text Box 483">
          <a:extLst>
            <a:ext uri="{FF2B5EF4-FFF2-40B4-BE49-F238E27FC236}">
              <a16:creationId xmlns:a16="http://schemas.microsoft.com/office/drawing/2014/main" id="{00000000-0008-0000-0200-00008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5" name="Text Box 484">
          <a:extLst>
            <a:ext uri="{FF2B5EF4-FFF2-40B4-BE49-F238E27FC236}">
              <a16:creationId xmlns:a16="http://schemas.microsoft.com/office/drawing/2014/main" id="{00000000-0008-0000-0200-00008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26" name="Text Box 485">
          <a:extLst>
            <a:ext uri="{FF2B5EF4-FFF2-40B4-BE49-F238E27FC236}">
              <a16:creationId xmlns:a16="http://schemas.microsoft.com/office/drawing/2014/main" id="{00000000-0008-0000-0200-000086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27" name="Text Box 486">
          <a:extLst>
            <a:ext uri="{FF2B5EF4-FFF2-40B4-BE49-F238E27FC236}">
              <a16:creationId xmlns:a16="http://schemas.microsoft.com/office/drawing/2014/main" id="{00000000-0008-0000-0200-00008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8" name="Text Box 487">
          <a:extLst>
            <a:ext uri="{FF2B5EF4-FFF2-40B4-BE49-F238E27FC236}">
              <a16:creationId xmlns:a16="http://schemas.microsoft.com/office/drawing/2014/main" id="{00000000-0008-0000-0200-00008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29" name="Text Box 488">
          <a:extLst>
            <a:ext uri="{FF2B5EF4-FFF2-40B4-BE49-F238E27FC236}">
              <a16:creationId xmlns:a16="http://schemas.microsoft.com/office/drawing/2014/main" id="{00000000-0008-0000-0200-00008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30" name="Text Box 489">
          <a:extLst>
            <a:ext uri="{FF2B5EF4-FFF2-40B4-BE49-F238E27FC236}">
              <a16:creationId xmlns:a16="http://schemas.microsoft.com/office/drawing/2014/main" id="{00000000-0008-0000-0200-00008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1" name="Text Box 490">
          <a:extLst>
            <a:ext uri="{FF2B5EF4-FFF2-40B4-BE49-F238E27FC236}">
              <a16:creationId xmlns:a16="http://schemas.microsoft.com/office/drawing/2014/main" id="{00000000-0008-0000-0200-00008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2" name="Text Box 491">
          <a:extLst>
            <a:ext uri="{FF2B5EF4-FFF2-40B4-BE49-F238E27FC236}">
              <a16:creationId xmlns:a16="http://schemas.microsoft.com/office/drawing/2014/main" id="{00000000-0008-0000-0200-00008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33" name="Text Box 492">
          <a:extLst>
            <a:ext uri="{FF2B5EF4-FFF2-40B4-BE49-F238E27FC236}">
              <a16:creationId xmlns:a16="http://schemas.microsoft.com/office/drawing/2014/main" id="{00000000-0008-0000-0200-00008D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4" name="Text Box 493">
          <a:extLst>
            <a:ext uri="{FF2B5EF4-FFF2-40B4-BE49-F238E27FC236}">
              <a16:creationId xmlns:a16="http://schemas.microsoft.com/office/drawing/2014/main" id="{00000000-0008-0000-0200-00008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5" name="Text Box 494">
          <a:extLst>
            <a:ext uri="{FF2B5EF4-FFF2-40B4-BE49-F238E27FC236}">
              <a16:creationId xmlns:a16="http://schemas.microsoft.com/office/drawing/2014/main" id="{00000000-0008-0000-0200-00008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36" name="Text Box 495">
          <a:extLst>
            <a:ext uri="{FF2B5EF4-FFF2-40B4-BE49-F238E27FC236}">
              <a16:creationId xmlns:a16="http://schemas.microsoft.com/office/drawing/2014/main" id="{00000000-0008-0000-0200-00009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37" name="Text Box 496">
          <a:extLst>
            <a:ext uri="{FF2B5EF4-FFF2-40B4-BE49-F238E27FC236}">
              <a16:creationId xmlns:a16="http://schemas.microsoft.com/office/drawing/2014/main" id="{00000000-0008-0000-0200-000091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8" name="Text Box 497">
          <a:extLst>
            <a:ext uri="{FF2B5EF4-FFF2-40B4-BE49-F238E27FC236}">
              <a16:creationId xmlns:a16="http://schemas.microsoft.com/office/drawing/2014/main" id="{00000000-0008-0000-0200-00009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39" name="Text Box 498">
          <a:extLst>
            <a:ext uri="{FF2B5EF4-FFF2-40B4-BE49-F238E27FC236}">
              <a16:creationId xmlns:a16="http://schemas.microsoft.com/office/drawing/2014/main" id="{00000000-0008-0000-0200-00009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40" name="Text Box 499">
          <a:extLst>
            <a:ext uri="{FF2B5EF4-FFF2-40B4-BE49-F238E27FC236}">
              <a16:creationId xmlns:a16="http://schemas.microsoft.com/office/drawing/2014/main" id="{00000000-0008-0000-0200-000094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1" name="Text Box 500">
          <a:extLst>
            <a:ext uri="{FF2B5EF4-FFF2-40B4-BE49-F238E27FC236}">
              <a16:creationId xmlns:a16="http://schemas.microsoft.com/office/drawing/2014/main" id="{00000000-0008-0000-0200-00009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2" name="Text Box 501">
          <a:extLst>
            <a:ext uri="{FF2B5EF4-FFF2-40B4-BE49-F238E27FC236}">
              <a16:creationId xmlns:a16="http://schemas.microsoft.com/office/drawing/2014/main" id="{00000000-0008-0000-0200-00009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43" name="Text Box 502">
          <a:extLst>
            <a:ext uri="{FF2B5EF4-FFF2-40B4-BE49-F238E27FC236}">
              <a16:creationId xmlns:a16="http://schemas.microsoft.com/office/drawing/2014/main" id="{00000000-0008-0000-0200-00009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4" name="Text Box 503">
          <a:extLst>
            <a:ext uri="{FF2B5EF4-FFF2-40B4-BE49-F238E27FC236}">
              <a16:creationId xmlns:a16="http://schemas.microsoft.com/office/drawing/2014/main" id="{00000000-0008-0000-0200-00009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5" name="Text Box 504">
          <a:extLst>
            <a:ext uri="{FF2B5EF4-FFF2-40B4-BE49-F238E27FC236}">
              <a16:creationId xmlns:a16="http://schemas.microsoft.com/office/drawing/2014/main" id="{00000000-0008-0000-0200-00009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7"/>
    <xdr:sp macro="" textlink="">
      <xdr:nvSpPr>
        <xdr:cNvPr id="1946" name="Text Box 505">
          <a:extLst>
            <a:ext uri="{FF2B5EF4-FFF2-40B4-BE49-F238E27FC236}">
              <a16:creationId xmlns:a16="http://schemas.microsoft.com/office/drawing/2014/main" id="{00000000-0008-0000-0200-00009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7" name="Text Box 506">
          <a:extLst>
            <a:ext uri="{FF2B5EF4-FFF2-40B4-BE49-F238E27FC236}">
              <a16:creationId xmlns:a16="http://schemas.microsoft.com/office/drawing/2014/main" id="{00000000-0008-0000-0200-00009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48" name="Text Box 507">
          <a:extLst>
            <a:ext uri="{FF2B5EF4-FFF2-40B4-BE49-F238E27FC236}">
              <a16:creationId xmlns:a16="http://schemas.microsoft.com/office/drawing/2014/main" id="{00000000-0008-0000-0200-00009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49" name="Text Box 508">
          <a:extLst>
            <a:ext uri="{FF2B5EF4-FFF2-40B4-BE49-F238E27FC236}">
              <a16:creationId xmlns:a16="http://schemas.microsoft.com/office/drawing/2014/main" id="{00000000-0008-0000-0200-00009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0" name="Text Box 509">
          <a:extLst>
            <a:ext uri="{FF2B5EF4-FFF2-40B4-BE49-F238E27FC236}">
              <a16:creationId xmlns:a16="http://schemas.microsoft.com/office/drawing/2014/main" id="{00000000-0008-0000-0200-00009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1" name="Text Box 510">
          <a:extLst>
            <a:ext uri="{FF2B5EF4-FFF2-40B4-BE49-F238E27FC236}">
              <a16:creationId xmlns:a16="http://schemas.microsoft.com/office/drawing/2014/main" id="{00000000-0008-0000-0200-00009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52" name="Text Box 511">
          <a:extLst>
            <a:ext uri="{FF2B5EF4-FFF2-40B4-BE49-F238E27FC236}">
              <a16:creationId xmlns:a16="http://schemas.microsoft.com/office/drawing/2014/main" id="{00000000-0008-0000-0200-0000A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3" name="Text Box 512">
          <a:extLst>
            <a:ext uri="{FF2B5EF4-FFF2-40B4-BE49-F238E27FC236}">
              <a16:creationId xmlns:a16="http://schemas.microsoft.com/office/drawing/2014/main" id="{00000000-0008-0000-0200-0000A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4" name="Text Box 513">
          <a:extLst>
            <a:ext uri="{FF2B5EF4-FFF2-40B4-BE49-F238E27FC236}">
              <a16:creationId xmlns:a16="http://schemas.microsoft.com/office/drawing/2014/main" id="{00000000-0008-0000-0200-0000A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55" name="Text Box 514">
          <a:extLst>
            <a:ext uri="{FF2B5EF4-FFF2-40B4-BE49-F238E27FC236}">
              <a16:creationId xmlns:a16="http://schemas.microsoft.com/office/drawing/2014/main" id="{00000000-0008-0000-0200-0000A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56" name="Text Box 515">
          <a:extLst>
            <a:ext uri="{FF2B5EF4-FFF2-40B4-BE49-F238E27FC236}">
              <a16:creationId xmlns:a16="http://schemas.microsoft.com/office/drawing/2014/main" id="{00000000-0008-0000-0200-0000A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7" name="Text Box 516">
          <a:extLst>
            <a:ext uri="{FF2B5EF4-FFF2-40B4-BE49-F238E27FC236}">
              <a16:creationId xmlns:a16="http://schemas.microsoft.com/office/drawing/2014/main" id="{00000000-0008-0000-0200-0000A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58" name="Text Box 517">
          <a:extLst>
            <a:ext uri="{FF2B5EF4-FFF2-40B4-BE49-F238E27FC236}">
              <a16:creationId xmlns:a16="http://schemas.microsoft.com/office/drawing/2014/main" id="{00000000-0008-0000-0200-0000A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59" name="Text Box 518">
          <a:extLst>
            <a:ext uri="{FF2B5EF4-FFF2-40B4-BE49-F238E27FC236}">
              <a16:creationId xmlns:a16="http://schemas.microsoft.com/office/drawing/2014/main" id="{00000000-0008-0000-0200-0000A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0" name="Text Box 519">
          <a:extLst>
            <a:ext uri="{FF2B5EF4-FFF2-40B4-BE49-F238E27FC236}">
              <a16:creationId xmlns:a16="http://schemas.microsoft.com/office/drawing/2014/main" id="{00000000-0008-0000-0200-0000A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1" name="Text Box 520">
          <a:extLst>
            <a:ext uri="{FF2B5EF4-FFF2-40B4-BE49-F238E27FC236}">
              <a16:creationId xmlns:a16="http://schemas.microsoft.com/office/drawing/2014/main" id="{00000000-0008-0000-0200-0000A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62" name="Text Box 521">
          <a:extLst>
            <a:ext uri="{FF2B5EF4-FFF2-40B4-BE49-F238E27FC236}">
              <a16:creationId xmlns:a16="http://schemas.microsoft.com/office/drawing/2014/main" id="{00000000-0008-0000-0200-0000A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3" name="Text Box 522">
          <a:extLst>
            <a:ext uri="{FF2B5EF4-FFF2-40B4-BE49-F238E27FC236}">
              <a16:creationId xmlns:a16="http://schemas.microsoft.com/office/drawing/2014/main" id="{00000000-0008-0000-0200-0000A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4" name="Text Box 523">
          <a:extLst>
            <a:ext uri="{FF2B5EF4-FFF2-40B4-BE49-F238E27FC236}">
              <a16:creationId xmlns:a16="http://schemas.microsoft.com/office/drawing/2014/main" id="{00000000-0008-0000-0200-0000A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65" name="Text Box 524">
          <a:extLst>
            <a:ext uri="{FF2B5EF4-FFF2-40B4-BE49-F238E27FC236}">
              <a16:creationId xmlns:a16="http://schemas.microsoft.com/office/drawing/2014/main" id="{00000000-0008-0000-0200-0000A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66" name="Text Box 525">
          <a:extLst>
            <a:ext uri="{FF2B5EF4-FFF2-40B4-BE49-F238E27FC236}">
              <a16:creationId xmlns:a16="http://schemas.microsoft.com/office/drawing/2014/main" id="{00000000-0008-0000-0200-0000AE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7" name="Text Box 526">
          <a:extLst>
            <a:ext uri="{FF2B5EF4-FFF2-40B4-BE49-F238E27FC236}">
              <a16:creationId xmlns:a16="http://schemas.microsoft.com/office/drawing/2014/main" id="{00000000-0008-0000-0200-0000A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68" name="Text Box 527">
          <a:extLst>
            <a:ext uri="{FF2B5EF4-FFF2-40B4-BE49-F238E27FC236}">
              <a16:creationId xmlns:a16="http://schemas.microsoft.com/office/drawing/2014/main" id="{00000000-0008-0000-0200-0000B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69" name="Text Box 528">
          <a:extLst>
            <a:ext uri="{FF2B5EF4-FFF2-40B4-BE49-F238E27FC236}">
              <a16:creationId xmlns:a16="http://schemas.microsoft.com/office/drawing/2014/main" id="{00000000-0008-0000-0200-0000B1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0" name="Text Box 529">
          <a:extLst>
            <a:ext uri="{FF2B5EF4-FFF2-40B4-BE49-F238E27FC236}">
              <a16:creationId xmlns:a16="http://schemas.microsoft.com/office/drawing/2014/main" id="{00000000-0008-0000-0200-0000B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1" name="Text Box 530">
          <a:extLst>
            <a:ext uri="{FF2B5EF4-FFF2-40B4-BE49-F238E27FC236}">
              <a16:creationId xmlns:a16="http://schemas.microsoft.com/office/drawing/2014/main" id="{00000000-0008-0000-0200-0000B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72" name="Text Box 531">
          <a:extLst>
            <a:ext uri="{FF2B5EF4-FFF2-40B4-BE49-F238E27FC236}">
              <a16:creationId xmlns:a16="http://schemas.microsoft.com/office/drawing/2014/main" id="{00000000-0008-0000-0200-0000B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3" name="Text Box 532">
          <a:extLst>
            <a:ext uri="{FF2B5EF4-FFF2-40B4-BE49-F238E27FC236}">
              <a16:creationId xmlns:a16="http://schemas.microsoft.com/office/drawing/2014/main" id="{00000000-0008-0000-0200-0000B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4" name="Text Box 533">
          <a:extLst>
            <a:ext uri="{FF2B5EF4-FFF2-40B4-BE49-F238E27FC236}">
              <a16:creationId xmlns:a16="http://schemas.microsoft.com/office/drawing/2014/main" id="{00000000-0008-0000-0200-0000B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1975" name="Text Box 534">
          <a:extLst>
            <a:ext uri="{FF2B5EF4-FFF2-40B4-BE49-F238E27FC236}">
              <a16:creationId xmlns:a16="http://schemas.microsoft.com/office/drawing/2014/main" id="{00000000-0008-0000-0200-0000B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76" name="Text Box 535">
          <a:extLst>
            <a:ext uri="{FF2B5EF4-FFF2-40B4-BE49-F238E27FC236}">
              <a16:creationId xmlns:a16="http://schemas.microsoft.com/office/drawing/2014/main" id="{00000000-0008-0000-0200-0000B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7" name="Text Box 536">
          <a:extLst>
            <a:ext uri="{FF2B5EF4-FFF2-40B4-BE49-F238E27FC236}">
              <a16:creationId xmlns:a16="http://schemas.microsoft.com/office/drawing/2014/main" id="{00000000-0008-0000-0200-0000B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78" name="Text Box 537">
          <a:extLst>
            <a:ext uri="{FF2B5EF4-FFF2-40B4-BE49-F238E27FC236}">
              <a16:creationId xmlns:a16="http://schemas.microsoft.com/office/drawing/2014/main" id="{00000000-0008-0000-0200-0000B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79" name="Text Box 538">
          <a:extLst>
            <a:ext uri="{FF2B5EF4-FFF2-40B4-BE49-F238E27FC236}">
              <a16:creationId xmlns:a16="http://schemas.microsoft.com/office/drawing/2014/main" id="{00000000-0008-0000-0200-0000B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0" name="Text Box 539">
          <a:extLst>
            <a:ext uri="{FF2B5EF4-FFF2-40B4-BE49-F238E27FC236}">
              <a16:creationId xmlns:a16="http://schemas.microsoft.com/office/drawing/2014/main" id="{00000000-0008-0000-0200-0000B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1" name="Text Box 540">
          <a:extLst>
            <a:ext uri="{FF2B5EF4-FFF2-40B4-BE49-F238E27FC236}">
              <a16:creationId xmlns:a16="http://schemas.microsoft.com/office/drawing/2014/main" id="{00000000-0008-0000-0200-0000B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82" name="Text Box 541">
          <a:extLst>
            <a:ext uri="{FF2B5EF4-FFF2-40B4-BE49-F238E27FC236}">
              <a16:creationId xmlns:a16="http://schemas.microsoft.com/office/drawing/2014/main" id="{00000000-0008-0000-0200-0000B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3" name="Text Box 542">
          <a:extLst>
            <a:ext uri="{FF2B5EF4-FFF2-40B4-BE49-F238E27FC236}">
              <a16:creationId xmlns:a16="http://schemas.microsoft.com/office/drawing/2014/main" id="{00000000-0008-0000-0200-0000B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4" name="Text Box 543">
          <a:extLst>
            <a:ext uri="{FF2B5EF4-FFF2-40B4-BE49-F238E27FC236}">
              <a16:creationId xmlns:a16="http://schemas.microsoft.com/office/drawing/2014/main" id="{00000000-0008-0000-0200-0000C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85" name="Text Box 544">
          <a:extLst>
            <a:ext uri="{FF2B5EF4-FFF2-40B4-BE49-F238E27FC236}">
              <a16:creationId xmlns:a16="http://schemas.microsoft.com/office/drawing/2014/main" id="{00000000-0008-0000-0200-0000C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6" name="Text Box 545">
          <a:extLst>
            <a:ext uri="{FF2B5EF4-FFF2-40B4-BE49-F238E27FC236}">
              <a16:creationId xmlns:a16="http://schemas.microsoft.com/office/drawing/2014/main" id="{00000000-0008-0000-0200-0000C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7" name="Text Box 546">
          <a:extLst>
            <a:ext uri="{FF2B5EF4-FFF2-40B4-BE49-F238E27FC236}">
              <a16:creationId xmlns:a16="http://schemas.microsoft.com/office/drawing/2014/main" id="{00000000-0008-0000-0200-0000C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88" name="Text Box 547">
          <a:extLst>
            <a:ext uri="{FF2B5EF4-FFF2-40B4-BE49-F238E27FC236}">
              <a16:creationId xmlns:a16="http://schemas.microsoft.com/office/drawing/2014/main" id="{00000000-0008-0000-0200-0000C4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89" name="Text Box 548">
          <a:extLst>
            <a:ext uri="{FF2B5EF4-FFF2-40B4-BE49-F238E27FC236}">
              <a16:creationId xmlns:a16="http://schemas.microsoft.com/office/drawing/2014/main" id="{00000000-0008-0000-0200-0000C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0" name="Text Box 549">
          <a:extLst>
            <a:ext uri="{FF2B5EF4-FFF2-40B4-BE49-F238E27FC236}">
              <a16:creationId xmlns:a16="http://schemas.microsoft.com/office/drawing/2014/main" id="{00000000-0008-0000-0200-0000C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91" name="Text Box 550">
          <a:extLst>
            <a:ext uri="{FF2B5EF4-FFF2-40B4-BE49-F238E27FC236}">
              <a16:creationId xmlns:a16="http://schemas.microsoft.com/office/drawing/2014/main" id="{00000000-0008-0000-0200-0000C7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92" name="Text Box 551">
          <a:extLst>
            <a:ext uri="{FF2B5EF4-FFF2-40B4-BE49-F238E27FC236}">
              <a16:creationId xmlns:a16="http://schemas.microsoft.com/office/drawing/2014/main" id="{00000000-0008-0000-0200-0000C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3" name="Text Box 552">
          <a:extLst>
            <a:ext uri="{FF2B5EF4-FFF2-40B4-BE49-F238E27FC236}">
              <a16:creationId xmlns:a16="http://schemas.microsoft.com/office/drawing/2014/main" id="{00000000-0008-0000-0200-0000C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4" name="Text Box 553">
          <a:extLst>
            <a:ext uri="{FF2B5EF4-FFF2-40B4-BE49-F238E27FC236}">
              <a16:creationId xmlns:a16="http://schemas.microsoft.com/office/drawing/2014/main" id="{00000000-0008-0000-0200-0000C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95" name="Text Box 554">
          <a:extLst>
            <a:ext uri="{FF2B5EF4-FFF2-40B4-BE49-F238E27FC236}">
              <a16:creationId xmlns:a16="http://schemas.microsoft.com/office/drawing/2014/main" id="{00000000-0008-0000-0200-0000C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6" name="Text Box 555">
          <a:extLst>
            <a:ext uri="{FF2B5EF4-FFF2-40B4-BE49-F238E27FC236}">
              <a16:creationId xmlns:a16="http://schemas.microsoft.com/office/drawing/2014/main" id="{00000000-0008-0000-0200-0000C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7" name="Text Box 556">
          <a:extLst>
            <a:ext uri="{FF2B5EF4-FFF2-40B4-BE49-F238E27FC236}">
              <a16:creationId xmlns:a16="http://schemas.microsoft.com/office/drawing/2014/main" id="{00000000-0008-0000-0200-0000C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1998" name="Text Box 557">
          <a:extLst>
            <a:ext uri="{FF2B5EF4-FFF2-40B4-BE49-F238E27FC236}">
              <a16:creationId xmlns:a16="http://schemas.microsoft.com/office/drawing/2014/main" id="{00000000-0008-0000-0200-0000C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1999" name="Text Box 558">
          <a:extLst>
            <a:ext uri="{FF2B5EF4-FFF2-40B4-BE49-F238E27FC236}">
              <a16:creationId xmlns:a16="http://schemas.microsoft.com/office/drawing/2014/main" id="{00000000-0008-0000-0200-0000C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0" name="Text Box 559">
          <a:extLst>
            <a:ext uri="{FF2B5EF4-FFF2-40B4-BE49-F238E27FC236}">
              <a16:creationId xmlns:a16="http://schemas.microsoft.com/office/drawing/2014/main" id="{00000000-0008-0000-0200-0000D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01" name="Text Box 560">
          <a:extLst>
            <a:ext uri="{FF2B5EF4-FFF2-40B4-BE49-F238E27FC236}">
              <a16:creationId xmlns:a16="http://schemas.microsoft.com/office/drawing/2014/main" id="{00000000-0008-0000-0200-0000D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02" name="Text Box 561">
          <a:extLst>
            <a:ext uri="{FF2B5EF4-FFF2-40B4-BE49-F238E27FC236}">
              <a16:creationId xmlns:a16="http://schemas.microsoft.com/office/drawing/2014/main" id="{00000000-0008-0000-0200-0000D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3" name="Text Box 562">
          <a:extLst>
            <a:ext uri="{FF2B5EF4-FFF2-40B4-BE49-F238E27FC236}">
              <a16:creationId xmlns:a16="http://schemas.microsoft.com/office/drawing/2014/main" id="{00000000-0008-0000-0200-0000D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4" name="Text Box 563">
          <a:extLst>
            <a:ext uri="{FF2B5EF4-FFF2-40B4-BE49-F238E27FC236}">
              <a16:creationId xmlns:a16="http://schemas.microsoft.com/office/drawing/2014/main" id="{00000000-0008-0000-0200-0000D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05" name="Text Box 564">
          <a:extLst>
            <a:ext uri="{FF2B5EF4-FFF2-40B4-BE49-F238E27FC236}">
              <a16:creationId xmlns:a16="http://schemas.microsoft.com/office/drawing/2014/main" id="{00000000-0008-0000-0200-0000D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6" name="Text Box 565">
          <a:extLst>
            <a:ext uri="{FF2B5EF4-FFF2-40B4-BE49-F238E27FC236}">
              <a16:creationId xmlns:a16="http://schemas.microsoft.com/office/drawing/2014/main" id="{00000000-0008-0000-0200-0000D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7" name="Text Box 566">
          <a:extLst>
            <a:ext uri="{FF2B5EF4-FFF2-40B4-BE49-F238E27FC236}">
              <a16:creationId xmlns:a16="http://schemas.microsoft.com/office/drawing/2014/main" id="{00000000-0008-0000-0200-0000D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08" name="Text Box 567">
          <a:extLst>
            <a:ext uri="{FF2B5EF4-FFF2-40B4-BE49-F238E27FC236}">
              <a16:creationId xmlns:a16="http://schemas.microsoft.com/office/drawing/2014/main" id="{00000000-0008-0000-0200-0000D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09" name="Text Box 568">
          <a:extLst>
            <a:ext uri="{FF2B5EF4-FFF2-40B4-BE49-F238E27FC236}">
              <a16:creationId xmlns:a16="http://schemas.microsoft.com/office/drawing/2014/main" id="{00000000-0008-0000-0200-0000D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0" name="Text Box 569">
          <a:extLst>
            <a:ext uri="{FF2B5EF4-FFF2-40B4-BE49-F238E27FC236}">
              <a16:creationId xmlns:a16="http://schemas.microsoft.com/office/drawing/2014/main" id="{00000000-0008-0000-0200-0000D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11" name="Text Box 570">
          <a:extLst>
            <a:ext uri="{FF2B5EF4-FFF2-40B4-BE49-F238E27FC236}">
              <a16:creationId xmlns:a16="http://schemas.microsoft.com/office/drawing/2014/main" id="{00000000-0008-0000-0200-0000D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12" name="Text Box 571">
          <a:extLst>
            <a:ext uri="{FF2B5EF4-FFF2-40B4-BE49-F238E27FC236}">
              <a16:creationId xmlns:a16="http://schemas.microsoft.com/office/drawing/2014/main" id="{00000000-0008-0000-0200-0000D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3" name="Text Box 572">
          <a:extLst>
            <a:ext uri="{FF2B5EF4-FFF2-40B4-BE49-F238E27FC236}">
              <a16:creationId xmlns:a16="http://schemas.microsoft.com/office/drawing/2014/main" id="{00000000-0008-0000-0200-0000D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4" name="Text Box 573">
          <a:extLst>
            <a:ext uri="{FF2B5EF4-FFF2-40B4-BE49-F238E27FC236}">
              <a16:creationId xmlns:a16="http://schemas.microsoft.com/office/drawing/2014/main" id="{00000000-0008-0000-0200-0000D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15" name="Text Box 574">
          <a:extLst>
            <a:ext uri="{FF2B5EF4-FFF2-40B4-BE49-F238E27FC236}">
              <a16:creationId xmlns:a16="http://schemas.microsoft.com/office/drawing/2014/main" id="{00000000-0008-0000-0200-0000D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6" name="Text Box 575">
          <a:extLst>
            <a:ext uri="{FF2B5EF4-FFF2-40B4-BE49-F238E27FC236}">
              <a16:creationId xmlns:a16="http://schemas.microsoft.com/office/drawing/2014/main" id="{00000000-0008-0000-0200-0000E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7" name="Text Box 576">
          <a:extLst>
            <a:ext uri="{FF2B5EF4-FFF2-40B4-BE49-F238E27FC236}">
              <a16:creationId xmlns:a16="http://schemas.microsoft.com/office/drawing/2014/main" id="{00000000-0008-0000-0200-0000E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18" name="Text Box 577">
          <a:extLst>
            <a:ext uri="{FF2B5EF4-FFF2-40B4-BE49-F238E27FC236}">
              <a16:creationId xmlns:a16="http://schemas.microsoft.com/office/drawing/2014/main" id="{00000000-0008-0000-0200-0000E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19" name="Text Box 578">
          <a:extLst>
            <a:ext uri="{FF2B5EF4-FFF2-40B4-BE49-F238E27FC236}">
              <a16:creationId xmlns:a16="http://schemas.microsoft.com/office/drawing/2014/main" id="{00000000-0008-0000-0200-0000E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0" name="Text Box 579">
          <a:extLst>
            <a:ext uri="{FF2B5EF4-FFF2-40B4-BE49-F238E27FC236}">
              <a16:creationId xmlns:a16="http://schemas.microsoft.com/office/drawing/2014/main" id="{00000000-0008-0000-0200-0000E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21" name="Text Box 580">
          <a:extLst>
            <a:ext uri="{FF2B5EF4-FFF2-40B4-BE49-F238E27FC236}">
              <a16:creationId xmlns:a16="http://schemas.microsoft.com/office/drawing/2014/main" id="{00000000-0008-0000-0200-0000E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2" name="Text Box 581">
          <a:extLst>
            <a:ext uri="{FF2B5EF4-FFF2-40B4-BE49-F238E27FC236}">
              <a16:creationId xmlns:a16="http://schemas.microsoft.com/office/drawing/2014/main" id="{00000000-0008-0000-0200-0000E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3" name="Text Box 582">
          <a:extLst>
            <a:ext uri="{FF2B5EF4-FFF2-40B4-BE49-F238E27FC236}">
              <a16:creationId xmlns:a16="http://schemas.microsoft.com/office/drawing/2014/main" id="{00000000-0008-0000-0200-0000E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24" name="Text Box 583">
          <a:extLst>
            <a:ext uri="{FF2B5EF4-FFF2-40B4-BE49-F238E27FC236}">
              <a16:creationId xmlns:a16="http://schemas.microsoft.com/office/drawing/2014/main" id="{00000000-0008-0000-0200-0000E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5" name="Text Box 584">
          <a:extLst>
            <a:ext uri="{FF2B5EF4-FFF2-40B4-BE49-F238E27FC236}">
              <a16:creationId xmlns:a16="http://schemas.microsoft.com/office/drawing/2014/main" id="{00000000-0008-0000-0200-0000E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6" name="Text Box 585">
          <a:extLst>
            <a:ext uri="{FF2B5EF4-FFF2-40B4-BE49-F238E27FC236}">
              <a16:creationId xmlns:a16="http://schemas.microsoft.com/office/drawing/2014/main" id="{00000000-0008-0000-0200-0000E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27" name="Text Box 586">
          <a:extLst>
            <a:ext uri="{FF2B5EF4-FFF2-40B4-BE49-F238E27FC236}">
              <a16:creationId xmlns:a16="http://schemas.microsoft.com/office/drawing/2014/main" id="{00000000-0008-0000-0200-0000E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28" name="Text Box 587">
          <a:extLst>
            <a:ext uri="{FF2B5EF4-FFF2-40B4-BE49-F238E27FC236}">
              <a16:creationId xmlns:a16="http://schemas.microsoft.com/office/drawing/2014/main" id="{00000000-0008-0000-0200-0000E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29" name="Text Box 588">
          <a:extLst>
            <a:ext uri="{FF2B5EF4-FFF2-40B4-BE49-F238E27FC236}">
              <a16:creationId xmlns:a16="http://schemas.microsoft.com/office/drawing/2014/main" id="{00000000-0008-0000-0200-0000E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0" name="Text Box 589">
          <a:extLst>
            <a:ext uri="{FF2B5EF4-FFF2-40B4-BE49-F238E27FC236}">
              <a16:creationId xmlns:a16="http://schemas.microsoft.com/office/drawing/2014/main" id="{00000000-0008-0000-0200-0000E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31" name="Text Box 590">
          <a:extLst>
            <a:ext uri="{FF2B5EF4-FFF2-40B4-BE49-F238E27FC236}">
              <a16:creationId xmlns:a16="http://schemas.microsoft.com/office/drawing/2014/main" id="{00000000-0008-0000-0200-0000E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2" name="Text Box 591">
          <a:extLst>
            <a:ext uri="{FF2B5EF4-FFF2-40B4-BE49-F238E27FC236}">
              <a16:creationId xmlns:a16="http://schemas.microsoft.com/office/drawing/2014/main" id="{00000000-0008-0000-0200-0000F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3" name="Text Box 592">
          <a:extLst>
            <a:ext uri="{FF2B5EF4-FFF2-40B4-BE49-F238E27FC236}">
              <a16:creationId xmlns:a16="http://schemas.microsoft.com/office/drawing/2014/main" id="{00000000-0008-0000-0200-0000F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34" name="Text Box 593">
          <a:extLst>
            <a:ext uri="{FF2B5EF4-FFF2-40B4-BE49-F238E27FC236}">
              <a16:creationId xmlns:a16="http://schemas.microsoft.com/office/drawing/2014/main" id="{00000000-0008-0000-0200-0000F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5" name="Text Box 594">
          <a:extLst>
            <a:ext uri="{FF2B5EF4-FFF2-40B4-BE49-F238E27FC236}">
              <a16:creationId xmlns:a16="http://schemas.microsoft.com/office/drawing/2014/main" id="{00000000-0008-0000-0200-0000F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6" name="Text Box 595">
          <a:extLst>
            <a:ext uri="{FF2B5EF4-FFF2-40B4-BE49-F238E27FC236}">
              <a16:creationId xmlns:a16="http://schemas.microsoft.com/office/drawing/2014/main" id="{00000000-0008-0000-0200-0000F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37" name="Text Box 596">
          <a:extLst>
            <a:ext uri="{FF2B5EF4-FFF2-40B4-BE49-F238E27FC236}">
              <a16:creationId xmlns:a16="http://schemas.microsoft.com/office/drawing/2014/main" id="{00000000-0008-0000-0200-0000F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38" name="Text Box 597">
          <a:extLst>
            <a:ext uri="{FF2B5EF4-FFF2-40B4-BE49-F238E27FC236}">
              <a16:creationId xmlns:a16="http://schemas.microsoft.com/office/drawing/2014/main" id="{00000000-0008-0000-0200-0000F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39" name="Text Box 598">
          <a:extLst>
            <a:ext uri="{FF2B5EF4-FFF2-40B4-BE49-F238E27FC236}">
              <a16:creationId xmlns:a16="http://schemas.microsoft.com/office/drawing/2014/main" id="{00000000-0008-0000-0200-0000F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0" name="Text Box 599">
          <a:extLst>
            <a:ext uri="{FF2B5EF4-FFF2-40B4-BE49-F238E27FC236}">
              <a16:creationId xmlns:a16="http://schemas.microsoft.com/office/drawing/2014/main" id="{00000000-0008-0000-0200-0000F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41" name="Text Box 600">
          <a:extLst>
            <a:ext uri="{FF2B5EF4-FFF2-40B4-BE49-F238E27FC236}">
              <a16:creationId xmlns:a16="http://schemas.microsoft.com/office/drawing/2014/main" id="{00000000-0008-0000-0200-0000F9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2" name="Text Box 601">
          <a:extLst>
            <a:ext uri="{FF2B5EF4-FFF2-40B4-BE49-F238E27FC236}">
              <a16:creationId xmlns:a16="http://schemas.microsoft.com/office/drawing/2014/main" id="{00000000-0008-0000-0200-0000F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3" name="Text Box 602">
          <a:extLst>
            <a:ext uri="{FF2B5EF4-FFF2-40B4-BE49-F238E27FC236}">
              <a16:creationId xmlns:a16="http://schemas.microsoft.com/office/drawing/2014/main" id="{00000000-0008-0000-0200-0000F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44" name="Text Box 603">
          <a:extLst>
            <a:ext uri="{FF2B5EF4-FFF2-40B4-BE49-F238E27FC236}">
              <a16:creationId xmlns:a16="http://schemas.microsoft.com/office/drawing/2014/main" id="{00000000-0008-0000-0200-0000F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5" name="Text Box 604">
          <a:extLst>
            <a:ext uri="{FF2B5EF4-FFF2-40B4-BE49-F238E27FC236}">
              <a16:creationId xmlns:a16="http://schemas.microsoft.com/office/drawing/2014/main" id="{00000000-0008-0000-0200-0000F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6" name="Text Box 605">
          <a:extLst>
            <a:ext uri="{FF2B5EF4-FFF2-40B4-BE49-F238E27FC236}">
              <a16:creationId xmlns:a16="http://schemas.microsoft.com/office/drawing/2014/main" id="{00000000-0008-0000-0200-0000F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47" name="Text Box 606">
          <a:extLst>
            <a:ext uri="{FF2B5EF4-FFF2-40B4-BE49-F238E27FC236}">
              <a16:creationId xmlns:a16="http://schemas.microsoft.com/office/drawing/2014/main" id="{00000000-0008-0000-0200-0000F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48" name="Text Box 607">
          <a:extLst>
            <a:ext uri="{FF2B5EF4-FFF2-40B4-BE49-F238E27FC236}">
              <a16:creationId xmlns:a16="http://schemas.microsoft.com/office/drawing/2014/main" id="{00000000-0008-0000-0200-00000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49" name="Text Box 608">
          <a:extLst>
            <a:ext uri="{FF2B5EF4-FFF2-40B4-BE49-F238E27FC236}">
              <a16:creationId xmlns:a16="http://schemas.microsoft.com/office/drawing/2014/main" id="{00000000-0008-0000-0200-00000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0" name="Text Box 609">
          <a:extLst>
            <a:ext uri="{FF2B5EF4-FFF2-40B4-BE49-F238E27FC236}">
              <a16:creationId xmlns:a16="http://schemas.microsoft.com/office/drawing/2014/main" id="{00000000-0008-0000-0200-00000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51" name="Text Box 610">
          <a:extLst>
            <a:ext uri="{FF2B5EF4-FFF2-40B4-BE49-F238E27FC236}">
              <a16:creationId xmlns:a16="http://schemas.microsoft.com/office/drawing/2014/main" id="{00000000-0008-0000-0200-00000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2" name="Text Box 611">
          <a:extLst>
            <a:ext uri="{FF2B5EF4-FFF2-40B4-BE49-F238E27FC236}">
              <a16:creationId xmlns:a16="http://schemas.microsoft.com/office/drawing/2014/main" id="{00000000-0008-0000-0200-00000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3" name="Text Box 612">
          <a:extLst>
            <a:ext uri="{FF2B5EF4-FFF2-40B4-BE49-F238E27FC236}">
              <a16:creationId xmlns:a16="http://schemas.microsoft.com/office/drawing/2014/main" id="{00000000-0008-0000-0200-00000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54" name="Text Box 613">
          <a:extLst>
            <a:ext uri="{FF2B5EF4-FFF2-40B4-BE49-F238E27FC236}">
              <a16:creationId xmlns:a16="http://schemas.microsoft.com/office/drawing/2014/main" id="{00000000-0008-0000-0200-00000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5" name="Text Box 614">
          <a:extLst>
            <a:ext uri="{FF2B5EF4-FFF2-40B4-BE49-F238E27FC236}">
              <a16:creationId xmlns:a16="http://schemas.microsoft.com/office/drawing/2014/main" id="{00000000-0008-0000-0200-00000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6" name="Text Box 615">
          <a:extLst>
            <a:ext uri="{FF2B5EF4-FFF2-40B4-BE49-F238E27FC236}">
              <a16:creationId xmlns:a16="http://schemas.microsoft.com/office/drawing/2014/main" id="{00000000-0008-0000-0200-00000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57" name="Text Box 616">
          <a:extLst>
            <a:ext uri="{FF2B5EF4-FFF2-40B4-BE49-F238E27FC236}">
              <a16:creationId xmlns:a16="http://schemas.microsoft.com/office/drawing/2014/main" id="{00000000-0008-0000-0200-00000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8" name="Text Box 617">
          <a:extLst>
            <a:ext uri="{FF2B5EF4-FFF2-40B4-BE49-F238E27FC236}">
              <a16:creationId xmlns:a16="http://schemas.microsoft.com/office/drawing/2014/main" id="{00000000-0008-0000-0200-00000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59" name="Text Box 618">
          <a:extLst>
            <a:ext uri="{FF2B5EF4-FFF2-40B4-BE49-F238E27FC236}">
              <a16:creationId xmlns:a16="http://schemas.microsoft.com/office/drawing/2014/main" id="{00000000-0008-0000-0200-00000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60" name="Text Box 619">
          <a:extLst>
            <a:ext uri="{FF2B5EF4-FFF2-40B4-BE49-F238E27FC236}">
              <a16:creationId xmlns:a16="http://schemas.microsoft.com/office/drawing/2014/main" id="{00000000-0008-0000-0200-00000C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1" name="Text Box 620">
          <a:extLst>
            <a:ext uri="{FF2B5EF4-FFF2-40B4-BE49-F238E27FC236}">
              <a16:creationId xmlns:a16="http://schemas.microsoft.com/office/drawing/2014/main" id="{00000000-0008-0000-0200-00000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2" name="Text Box 621">
          <a:extLst>
            <a:ext uri="{FF2B5EF4-FFF2-40B4-BE49-F238E27FC236}">
              <a16:creationId xmlns:a16="http://schemas.microsoft.com/office/drawing/2014/main" id="{00000000-0008-0000-0200-00000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63" name="Text Box 622">
          <a:extLst>
            <a:ext uri="{FF2B5EF4-FFF2-40B4-BE49-F238E27FC236}">
              <a16:creationId xmlns:a16="http://schemas.microsoft.com/office/drawing/2014/main" id="{00000000-0008-0000-0200-00000F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64" name="Text Box 623">
          <a:extLst>
            <a:ext uri="{FF2B5EF4-FFF2-40B4-BE49-F238E27FC236}">
              <a16:creationId xmlns:a16="http://schemas.microsoft.com/office/drawing/2014/main" id="{00000000-0008-0000-0200-00001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5" name="Text Box 624">
          <a:extLst>
            <a:ext uri="{FF2B5EF4-FFF2-40B4-BE49-F238E27FC236}">
              <a16:creationId xmlns:a16="http://schemas.microsoft.com/office/drawing/2014/main" id="{00000000-0008-0000-0200-00001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6" name="Text Box 625">
          <a:extLst>
            <a:ext uri="{FF2B5EF4-FFF2-40B4-BE49-F238E27FC236}">
              <a16:creationId xmlns:a16="http://schemas.microsoft.com/office/drawing/2014/main" id="{00000000-0008-0000-0200-00001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67" name="Text Box 626">
          <a:extLst>
            <a:ext uri="{FF2B5EF4-FFF2-40B4-BE49-F238E27FC236}">
              <a16:creationId xmlns:a16="http://schemas.microsoft.com/office/drawing/2014/main" id="{00000000-0008-0000-0200-00001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8" name="Text Box 627">
          <a:extLst>
            <a:ext uri="{FF2B5EF4-FFF2-40B4-BE49-F238E27FC236}">
              <a16:creationId xmlns:a16="http://schemas.microsoft.com/office/drawing/2014/main" id="{00000000-0008-0000-0200-00001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69" name="Text Box 628">
          <a:extLst>
            <a:ext uri="{FF2B5EF4-FFF2-40B4-BE49-F238E27FC236}">
              <a16:creationId xmlns:a16="http://schemas.microsoft.com/office/drawing/2014/main" id="{00000000-0008-0000-0200-00001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70" name="Text Box 629">
          <a:extLst>
            <a:ext uri="{FF2B5EF4-FFF2-40B4-BE49-F238E27FC236}">
              <a16:creationId xmlns:a16="http://schemas.microsoft.com/office/drawing/2014/main" id="{00000000-0008-0000-0200-00001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1" name="Text Box 630">
          <a:extLst>
            <a:ext uri="{FF2B5EF4-FFF2-40B4-BE49-F238E27FC236}">
              <a16:creationId xmlns:a16="http://schemas.microsoft.com/office/drawing/2014/main" id="{00000000-0008-0000-0200-00001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2" name="Text Box 631">
          <a:extLst>
            <a:ext uri="{FF2B5EF4-FFF2-40B4-BE49-F238E27FC236}">
              <a16:creationId xmlns:a16="http://schemas.microsoft.com/office/drawing/2014/main" id="{00000000-0008-0000-0200-00001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73" name="Text Box 632">
          <a:extLst>
            <a:ext uri="{FF2B5EF4-FFF2-40B4-BE49-F238E27FC236}">
              <a16:creationId xmlns:a16="http://schemas.microsoft.com/office/drawing/2014/main" id="{00000000-0008-0000-0200-00001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74" name="Text Box 633">
          <a:extLst>
            <a:ext uri="{FF2B5EF4-FFF2-40B4-BE49-F238E27FC236}">
              <a16:creationId xmlns:a16="http://schemas.microsoft.com/office/drawing/2014/main" id="{00000000-0008-0000-0200-00001A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5" name="Text Box 634">
          <a:extLst>
            <a:ext uri="{FF2B5EF4-FFF2-40B4-BE49-F238E27FC236}">
              <a16:creationId xmlns:a16="http://schemas.microsoft.com/office/drawing/2014/main" id="{00000000-0008-0000-0200-00001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6" name="Text Box 635">
          <a:extLst>
            <a:ext uri="{FF2B5EF4-FFF2-40B4-BE49-F238E27FC236}">
              <a16:creationId xmlns:a16="http://schemas.microsoft.com/office/drawing/2014/main" id="{00000000-0008-0000-0200-00001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77" name="Text Box 636">
          <a:extLst>
            <a:ext uri="{FF2B5EF4-FFF2-40B4-BE49-F238E27FC236}">
              <a16:creationId xmlns:a16="http://schemas.microsoft.com/office/drawing/2014/main" id="{00000000-0008-0000-0200-00001D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8" name="Text Box 637">
          <a:extLst>
            <a:ext uri="{FF2B5EF4-FFF2-40B4-BE49-F238E27FC236}">
              <a16:creationId xmlns:a16="http://schemas.microsoft.com/office/drawing/2014/main" id="{00000000-0008-0000-0200-00001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79" name="Text Box 638">
          <a:extLst>
            <a:ext uri="{FF2B5EF4-FFF2-40B4-BE49-F238E27FC236}">
              <a16:creationId xmlns:a16="http://schemas.microsoft.com/office/drawing/2014/main" id="{00000000-0008-0000-0200-00001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80" name="Text Box 639">
          <a:extLst>
            <a:ext uri="{FF2B5EF4-FFF2-40B4-BE49-F238E27FC236}">
              <a16:creationId xmlns:a16="http://schemas.microsoft.com/office/drawing/2014/main" id="{00000000-0008-0000-0200-00002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1" name="Text Box 640">
          <a:extLst>
            <a:ext uri="{FF2B5EF4-FFF2-40B4-BE49-F238E27FC236}">
              <a16:creationId xmlns:a16="http://schemas.microsoft.com/office/drawing/2014/main" id="{00000000-0008-0000-0200-00002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2" name="Text Box 641">
          <a:extLst>
            <a:ext uri="{FF2B5EF4-FFF2-40B4-BE49-F238E27FC236}">
              <a16:creationId xmlns:a16="http://schemas.microsoft.com/office/drawing/2014/main" id="{00000000-0008-0000-0200-00002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3"/>
    <xdr:sp macro="" textlink="">
      <xdr:nvSpPr>
        <xdr:cNvPr id="2083" name="Text Box 642">
          <a:extLst>
            <a:ext uri="{FF2B5EF4-FFF2-40B4-BE49-F238E27FC236}">
              <a16:creationId xmlns:a16="http://schemas.microsoft.com/office/drawing/2014/main" id="{00000000-0008-0000-0200-00002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4" name="Text Box 643">
          <a:extLst>
            <a:ext uri="{FF2B5EF4-FFF2-40B4-BE49-F238E27FC236}">
              <a16:creationId xmlns:a16="http://schemas.microsoft.com/office/drawing/2014/main" id="{00000000-0008-0000-0200-00002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5" name="Text Box 644">
          <a:extLst>
            <a:ext uri="{FF2B5EF4-FFF2-40B4-BE49-F238E27FC236}">
              <a16:creationId xmlns:a16="http://schemas.microsoft.com/office/drawing/2014/main" id="{00000000-0008-0000-0200-00002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86" name="Text Box 645">
          <a:extLst>
            <a:ext uri="{FF2B5EF4-FFF2-40B4-BE49-F238E27FC236}">
              <a16:creationId xmlns:a16="http://schemas.microsoft.com/office/drawing/2014/main" id="{00000000-0008-0000-0200-00002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7" name="Text Box 646">
          <a:extLst>
            <a:ext uri="{FF2B5EF4-FFF2-40B4-BE49-F238E27FC236}">
              <a16:creationId xmlns:a16="http://schemas.microsoft.com/office/drawing/2014/main" id="{00000000-0008-0000-0200-00002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88" name="Text Box 647">
          <a:extLst>
            <a:ext uri="{FF2B5EF4-FFF2-40B4-BE49-F238E27FC236}">
              <a16:creationId xmlns:a16="http://schemas.microsoft.com/office/drawing/2014/main" id="{00000000-0008-0000-0200-00002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89" name="Text Box 648">
          <a:extLst>
            <a:ext uri="{FF2B5EF4-FFF2-40B4-BE49-F238E27FC236}">
              <a16:creationId xmlns:a16="http://schemas.microsoft.com/office/drawing/2014/main" id="{00000000-0008-0000-0200-000029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0" name="Text Box 649">
          <a:extLst>
            <a:ext uri="{FF2B5EF4-FFF2-40B4-BE49-F238E27FC236}">
              <a16:creationId xmlns:a16="http://schemas.microsoft.com/office/drawing/2014/main" id="{00000000-0008-0000-0200-00002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1" name="Text Box 650">
          <a:extLst>
            <a:ext uri="{FF2B5EF4-FFF2-40B4-BE49-F238E27FC236}">
              <a16:creationId xmlns:a16="http://schemas.microsoft.com/office/drawing/2014/main" id="{00000000-0008-0000-0200-00002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92" name="Text Box 651">
          <a:extLst>
            <a:ext uri="{FF2B5EF4-FFF2-40B4-BE49-F238E27FC236}">
              <a16:creationId xmlns:a16="http://schemas.microsoft.com/office/drawing/2014/main" id="{00000000-0008-0000-0200-00002C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93" name="Text Box 652">
          <a:extLst>
            <a:ext uri="{FF2B5EF4-FFF2-40B4-BE49-F238E27FC236}">
              <a16:creationId xmlns:a16="http://schemas.microsoft.com/office/drawing/2014/main" id="{00000000-0008-0000-0200-00002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4" name="Text Box 653">
          <a:extLst>
            <a:ext uri="{FF2B5EF4-FFF2-40B4-BE49-F238E27FC236}">
              <a16:creationId xmlns:a16="http://schemas.microsoft.com/office/drawing/2014/main" id="{00000000-0008-0000-0200-00002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5" name="Text Box 654">
          <a:extLst>
            <a:ext uri="{FF2B5EF4-FFF2-40B4-BE49-F238E27FC236}">
              <a16:creationId xmlns:a16="http://schemas.microsoft.com/office/drawing/2014/main" id="{00000000-0008-0000-0200-00002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96" name="Text Box 655">
          <a:extLst>
            <a:ext uri="{FF2B5EF4-FFF2-40B4-BE49-F238E27FC236}">
              <a16:creationId xmlns:a16="http://schemas.microsoft.com/office/drawing/2014/main" id="{00000000-0008-0000-0200-00003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7" name="Text Box 656">
          <a:extLst>
            <a:ext uri="{FF2B5EF4-FFF2-40B4-BE49-F238E27FC236}">
              <a16:creationId xmlns:a16="http://schemas.microsoft.com/office/drawing/2014/main" id="{00000000-0008-0000-0200-00003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098" name="Text Box 657">
          <a:extLst>
            <a:ext uri="{FF2B5EF4-FFF2-40B4-BE49-F238E27FC236}">
              <a16:creationId xmlns:a16="http://schemas.microsoft.com/office/drawing/2014/main" id="{00000000-0008-0000-0200-00003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099" name="Text Box 658">
          <a:extLst>
            <a:ext uri="{FF2B5EF4-FFF2-40B4-BE49-F238E27FC236}">
              <a16:creationId xmlns:a16="http://schemas.microsoft.com/office/drawing/2014/main" id="{00000000-0008-0000-0200-00003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0" name="Text Box 659">
          <a:extLst>
            <a:ext uri="{FF2B5EF4-FFF2-40B4-BE49-F238E27FC236}">
              <a16:creationId xmlns:a16="http://schemas.microsoft.com/office/drawing/2014/main" id="{00000000-0008-0000-0200-00003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1" name="Text Box 660">
          <a:extLst>
            <a:ext uri="{FF2B5EF4-FFF2-40B4-BE49-F238E27FC236}">
              <a16:creationId xmlns:a16="http://schemas.microsoft.com/office/drawing/2014/main" id="{00000000-0008-0000-0200-00003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02" name="Text Box 661">
          <a:extLst>
            <a:ext uri="{FF2B5EF4-FFF2-40B4-BE49-F238E27FC236}">
              <a16:creationId xmlns:a16="http://schemas.microsoft.com/office/drawing/2014/main" id="{00000000-0008-0000-0200-00003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3" name="Text Box 662">
          <a:extLst>
            <a:ext uri="{FF2B5EF4-FFF2-40B4-BE49-F238E27FC236}">
              <a16:creationId xmlns:a16="http://schemas.microsoft.com/office/drawing/2014/main" id="{00000000-0008-0000-0200-00003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4" name="Text Box 663">
          <a:extLst>
            <a:ext uri="{FF2B5EF4-FFF2-40B4-BE49-F238E27FC236}">
              <a16:creationId xmlns:a16="http://schemas.microsoft.com/office/drawing/2014/main" id="{00000000-0008-0000-0200-00003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05" name="Text Box 664">
          <a:extLst>
            <a:ext uri="{FF2B5EF4-FFF2-40B4-BE49-F238E27FC236}">
              <a16:creationId xmlns:a16="http://schemas.microsoft.com/office/drawing/2014/main" id="{00000000-0008-0000-0200-00003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6" name="Text Box 665">
          <a:extLst>
            <a:ext uri="{FF2B5EF4-FFF2-40B4-BE49-F238E27FC236}">
              <a16:creationId xmlns:a16="http://schemas.microsoft.com/office/drawing/2014/main" id="{00000000-0008-0000-0200-00003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7" name="Text Box 666">
          <a:extLst>
            <a:ext uri="{FF2B5EF4-FFF2-40B4-BE49-F238E27FC236}">
              <a16:creationId xmlns:a16="http://schemas.microsoft.com/office/drawing/2014/main" id="{00000000-0008-0000-0200-00003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08" name="Text Box 667">
          <a:extLst>
            <a:ext uri="{FF2B5EF4-FFF2-40B4-BE49-F238E27FC236}">
              <a16:creationId xmlns:a16="http://schemas.microsoft.com/office/drawing/2014/main" id="{00000000-0008-0000-0200-00003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09" name="Text Box 668">
          <a:extLst>
            <a:ext uri="{FF2B5EF4-FFF2-40B4-BE49-F238E27FC236}">
              <a16:creationId xmlns:a16="http://schemas.microsoft.com/office/drawing/2014/main" id="{00000000-0008-0000-0200-00003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0" name="Text Box 669">
          <a:extLst>
            <a:ext uri="{FF2B5EF4-FFF2-40B4-BE49-F238E27FC236}">
              <a16:creationId xmlns:a16="http://schemas.microsoft.com/office/drawing/2014/main" id="{00000000-0008-0000-0200-00003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11" name="Text Box 670">
          <a:extLst>
            <a:ext uri="{FF2B5EF4-FFF2-40B4-BE49-F238E27FC236}">
              <a16:creationId xmlns:a16="http://schemas.microsoft.com/office/drawing/2014/main" id="{00000000-0008-0000-0200-00003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12" name="Text Box 671">
          <a:extLst>
            <a:ext uri="{FF2B5EF4-FFF2-40B4-BE49-F238E27FC236}">
              <a16:creationId xmlns:a16="http://schemas.microsoft.com/office/drawing/2014/main" id="{00000000-0008-0000-0200-000040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3" name="Text Box 672">
          <a:extLst>
            <a:ext uri="{FF2B5EF4-FFF2-40B4-BE49-F238E27FC236}">
              <a16:creationId xmlns:a16="http://schemas.microsoft.com/office/drawing/2014/main" id="{00000000-0008-0000-0200-00004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4" name="Text Box 673">
          <a:extLst>
            <a:ext uri="{FF2B5EF4-FFF2-40B4-BE49-F238E27FC236}">
              <a16:creationId xmlns:a16="http://schemas.microsoft.com/office/drawing/2014/main" id="{00000000-0008-0000-0200-00004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15" name="Text Box 674">
          <a:extLst>
            <a:ext uri="{FF2B5EF4-FFF2-40B4-BE49-F238E27FC236}">
              <a16:creationId xmlns:a16="http://schemas.microsoft.com/office/drawing/2014/main" id="{00000000-0008-0000-0200-000043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6" name="Text Box 675">
          <a:extLst>
            <a:ext uri="{FF2B5EF4-FFF2-40B4-BE49-F238E27FC236}">
              <a16:creationId xmlns:a16="http://schemas.microsoft.com/office/drawing/2014/main" id="{00000000-0008-0000-0200-00004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7" name="Text Box 676">
          <a:extLst>
            <a:ext uri="{FF2B5EF4-FFF2-40B4-BE49-F238E27FC236}">
              <a16:creationId xmlns:a16="http://schemas.microsoft.com/office/drawing/2014/main" id="{00000000-0008-0000-0200-00004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18" name="Text Box 677">
          <a:extLst>
            <a:ext uri="{FF2B5EF4-FFF2-40B4-BE49-F238E27FC236}">
              <a16:creationId xmlns:a16="http://schemas.microsoft.com/office/drawing/2014/main" id="{00000000-0008-0000-0200-000046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19" name="Text Box 678">
          <a:extLst>
            <a:ext uri="{FF2B5EF4-FFF2-40B4-BE49-F238E27FC236}">
              <a16:creationId xmlns:a16="http://schemas.microsoft.com/office/drawing/2014/main" id="{00000000-0008-0000-0200-00004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0" name="Text Box 679">
          <a:extLst>
            <a:ext uri="{FF2B5EF4-FFF2-40B4-BE49-F238E27FC236}">
              <a16:creationId xmlns:a16="http://schemas.microsoft.com/office/drawing/2014/main" id="{00000000-0008-0000-0200-00004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21" name="Text Box 680">
          <a:extLst>
            <a:ext uri="{FF2B5EF4-FFF2-40B4-BE49-F238E27FC236}">
              <a16:creationId xmlns:a16="http://schemas.microsoft.com/office/drawing/2014/main" id="{00000000-0008-0000-0200-00004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2" name="Text Box 681">
          <a:extLst>
            <a:ext uri="{FF2B5EF4-FFF2-40B4-BE49-F238E27FC236}">
              <a16:creationId xmlns:a16="http://schemas.microsoft.com/office/drawing/2014/main" id="{00000000-0008-0000-0200-00004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3" name="Text Box 682">
          <a:extLst>
            <a:ext uri="{FF2B5EF4-FFF2-40B4-BE49-F238E27FC236}">
              <a16:creationId xmlns:a16="http://schemas.microsoft.com/office/drawing/2014/main" id="{00000000-0008-0000-0200-00004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24" name="Text Box 683">
          <a:extLst>
            <a:ext uri="{FF2B5EF4-FFF2-40B4-BE49-F238E27FC236}">
              <a16:creationId xmlns:a16="http://schemas.microsoft.com/office/drawing/2014/main" id="{00000000-0008-0000-0200-00004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5" name="Text Box 684">
          <a:extLst>
            <a:ext uri="{FF2B5EF4-FFF2-40B4-BE49-F238E27FC236}">
              <a16:creationId xmlns:a16="http://schemas.microsoft.com/office/drawing/2014/main" id="{00000000-0008-0000-0200-00004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6" name="Text Box 685">
          <a:extLst>
            <a:ext uri="{FF2B5EF4-FFF2-40B4-BE49-F238E27FC236}">
              <a16:creationId xmlns:a16="http://schemas.microsoft.com/office/drawing/2014/main" id="{00000000-0008-0000-0200-00004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27" name="Text Box 686">
          <a:extLst>
            <a:ext uri="{FF2B5EF4-FFF2-40B4-BE49-F238E27FC236}">
              <a16:creationId xmlns:a16="http://schemas.microsoft.com/office/drawing/2014/main" id="{00000000-0008-0000-0200-00004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8" name="Text Box 687">
          <a:extLst>
            <a:ext uri="{FF2B5EF4-FFF2-40B4-BE49-F238E27FC236}">
              <a16:creationId xmlns:a16="http://schemas.microsoft.com/office/drawing/2014/main" id="{00000000-0008-0000-0200-00005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29" name="Text Box 688">
          <a:extLst>
            <a:ext uri="{FF2B5EF4-FFF2-40B4-BE49-F238E27FC236}">
              <a16:creationId xmlns:a16="http://schemas.microsoft.com/office/drawing/2014/main" id="{00000000-0008-0000-0200-00005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30" name="Text Box 689">
          <a:extLst>
            <a:ext uri="{FF2B5EF4-FFF2-40B4-BE49-F238E27FC236}">
              <a16:creationId xmlns:a16="http://schemas.microsoft.com/office/drawing/2014/main" id="{00000000-0008-0000-0200-00005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31" name="Text Box 690">
          <a:extLst>
            <a:ext uri="{FF2B5EF4-FFF2-40B4-BE49-F238E27FC236}">
              <a16:creationId xmlns:a16="http://schemas.microsoft.com/office/drawing/2014/main" id="{00000000-0008-0000-0200-000053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2" name="Text Box 691">
          <a:extLst>
            <a:ext uri="{FF2B5EF4-FFF2-40B4-BE49-F238E27FC236}">
              <a16:creationId xmlns:a16="http://schemas.microsoft.com/office/drawing/2014/main" id="{00000000-0008-0000-0200-00005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3" name="Text Box 692">
          <a:extLst>
            <a:ext uri="{FF2B5EF4-FFF2-40B4-BE49-F238E27FC236}">
              <a16:creationId xmlns:a16="http://schemas.microsoft.com/office/drawing/2014/main" id="{00000000-0008-0000-0200-00005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34" name="Text Box 693">
          <a:extLst>
            <a:ext uri="{FF2B5EF4-FFF2-40B4-BE49-F238E27FC236}">
              <a16:creationId xmlns:a16="http://schemas.microsoft.com/office/drawing/2014/main" id="{00000000-0008-0000-0200-00005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5" name="Text Box 694">
          <a:extLst>
            <a:ext uri="{FF2B5EF4-FFF2-40B4-BE49-F238E27FC236}">
              <a16:creationId xmlns:a16="http://schemas.microsoft.com/office/drawing/2014/main" id="{00000000-0008-0000-0200-00005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6" name="Text Box 695">
          <a:extLst>
            <a:ext uri="{FF2B5EF4-FFF2-40B4-BE49-F238E27FC236}">
              <a16:creationId xmlns:a16="http://schemas.microsoft.com/office/drawing/2014/main" id="{00000000-0008-0000-0200-00005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37" name="Text Box 696">
          <a:extLst>
            <a:ext uri="{FF2B5EF4-FFF2-40B4-BE49-F238E27FC236}">
              <a16:creationId xmlns:a16="http://schemas.microsoft.com/office/drawing/2014/main" id="{00000000-0008-0000-0200-00005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8" name="Text Box 697">
          <a:extLst>
            <a:ext uri="{FF2B5EF4-FFF2-40B4-BE49-F238E27FC236}">
              <a16:creationId xmlns:a16="http://schemas.microsoft.com/office/drawing/2014/main" id="{00000000-0008-0000-0200-00005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39" name="Text Box 698">
          <a:extLst>
            <a:ext uri="{FF2B5EF4-FFF2-40B4-BE49-F238E27FC236}">
              <a16:creationId xmlns:a16="http://schemas.microsoft.com/office/drawing/2014/main" id="{00000000-0008-0000-0200-00005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40" name="Text Box 699">
          <a:extLst>
            <a:ext uri="{FF2B5EF4-FFF2-40B4-BE49-F238E27FC236}">
              <a16:creationId xmlns:a16="http://schemas.microsoft.com/office/drawing/2014/main" id="{00000000-0008-0000-0200-00005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41" name="Text Box 700">
          <a:extLst>
            <a:ext uri="{FF2B5EF4-FFF2-40B4-BE49-F238E27FC236}">
              <a16:creationId xmlns:a16="http://schemas.microsoft.com/office/drawing/2014/main" id="{00000000-0008-0000-0200-00005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42" name="Text Box 701">
          <a:extLst>
            <a:ext uri="{FF2B5EF4-FFF2-40B4-BE49-F238E27FC236}">
              <a16:creationId xmlns:a16="http://schemas.microsoft.com/office/drawing/2014/main" id="{00000000-0008-0000-0200-00005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43" name="Text Box 702">
          <a:extLst>
            <a:ext uri="{FF2B5EF4-FFF2-40B4-BE49-F238E27FC236}">
              <a16:creationId xmlns:a16="http://schemas.microsoft.com/office/drawing/2014/main" id="{00000000-0008-0000-0200-00005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44" name="Text Box 703">
          <a:extLst>
            <a:ext uri="{FF2B5EF4-FFF2-40B4-BE49-F238E27FC236}">
              <a16:creationId xmlns:a16="http://schemas.microsoft.com/office/drawing/2014/main" id="{00000000-0008-0000-0200-00006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45" name="Text Box 704">
          <a:extLst>
            <a:ext uri="{FF2B5EF4-FFF2-40B4-BE49-F238E27FC236}">
              <a16:creationId xmlns:a16="http://schemas.microsoft.com/office/drawing/2014/main" id="{00000000-0008-0000-0200-00006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46" name="Text Box 705">
          <a:extLst>
            <a:ext uri="{FF2B5EF4-FFF2-40B4-BE49-F238E27FC236}">
              <a16:creationId xmlns:a16="http://schemas.microsoft.com/office/drawing/2014/main" id="{00000000-0008-0000-0200-00006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47" name="Text Box 706">
          <a:extLst>
            <a:ext uri="{FF2B5EF4-FFF2-40B4-BE49-F238E27FC236}">
              <a16:creationId xmlns:a16="http://schemas.microsoft.com/office/drawing/2014/main" id="{00000000-0008-0000-0200-00006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48" name="Text Box 707">
          <a:extLst>
            <a:ext uri="{FF2B5EF4-FFF2-40B4-BE49-F238E27FC236}">
              <a16:creationId xmlns:a16="http://schemas.microsoft.com/office/drawing/2014/main" id="{00000000-0008-0000-0200-00006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49" name="Text Box 708">
          <a:extLst>
            <a:ext uri="{FF2B5EF4-FFF2-40B4-BE49-F238E27FC236}">
              <a16:creationId xmlns:a16="http://schemas.microsoft.com/office/drawing/2014/main" id="{00000000-0008-0000-0200-00006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0" name="Text Box 709">
          <a:extLst>
            <a:ext uri="{FF2B5EF4-FFF2-40B4-BE49-F238E27FC236}">
              <a16:creationId xmlns:a16="http://schemas.microsoft.com/office/drawing/2014/main" id="{00000000-0008-0000-0200-00006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51" name="Text Box 710">
          <a:extLst>
            <a:ext uri="{FF2B5EF4-FFF2-40B4-BE49-F238E27FC236}">
              <a16:creationId xmlns:a16="http://schemas.microsoft.com/office/drawing/2014/main" id="{00000000-0008-0000-0200-00006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2" name="Text Box 711">
          <a:extLst>
            <a:ext uri="{FF2B5EF4-FFF2-40B4-BE49-F238E27FC236}">
              <a16:creationId xmlns:a16="http://schemas.microsoft.com/office/drawing/2014/main" id="{00000000-0008-0000-0200-00006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3" name="Text Box 712">
          <a:extLst>
            <a:ext uri="{FF2B5EF4-FFF2-40B4-BE49-F238E27FC236}">
              <a16:creationId xmlns:a16="http://schemas.microsoft.com/office/drawing/2014/main" id="{00000000-0008-0000-0200-00006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54" name="Text Box 713">
          <a:extLst>
            <a:ext uri="{FF2B5EF4-FFF2-40B4-BE49-F238E27FC236}">
              <a16:creationId xmlns:a16="http://schemas.microsoft.com/office/drawing/2014/main" id="{00000000-0008-0000-0200-00006A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5" name="Text Box 714">
          <a:extLst>
            <a:ext uri="{FF2B5EF4-FFF2-40B4-BE49-F238E27FC236}">
              <a16:creationId xmlns:a16="http://schemas.microsoft.com/office/drawing/2014/main" id="{00000000-0008-0000-0200-00006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6" name="Text Box 715">
          <a:extLst>
            <a:ext uri="{FF2B5EF4-FFF2-40B4-BE49-F238E27FC236}">
              <a16:creationId xmlns:a16="http://schemas.microsoft.com/office/drawing/2014/main" id="{00000000-0008-0000-0200-00006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157" name="Text Box 716">
          <a:extLst>
            <a:ext uri="{FF2B5EF4-FFF2-40B4-BE49-F238E27FC236}">
              <a16:creationId xmlns:a16="http://schemas.microsoft.com/office/drawing/2014/main" id="{00000000-0008-0000-0200-00006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58" name="Text Box 717">
          <a:extLst>
            <a:ext uri="{FF2B5EF4-FFF2-40B4-BE49-F238E27FC236}">
              <a16:creationId xmlns:a16="http://schemas.microsoft.com/office/drawing/2014/main" id="{00000000-0008-0000-0200-00006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59" name="Text Box 718">
          <a:extLst>
            <a:ext uri="{FF2B5EF4-FFF2-40B4-BE49-F238E27FC236}">
              <a16:creationId xmlns:a16="http://schemas.microsoft.com/office/drawing/2014/main" id="{00000000-0008-0000-0200-00006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0" name="Text Box 719">
          <a:extLst>
            <a:ext uri="{FF2B5EF4-FFF2-40B4-BE49-F238E27FC236}">
              <a16:creationId xmlns:a16="http://schemas.microsoft.com/office/drawing/2014/main" id="{00000000-0008-0000-0200-00007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61" name="Text Box 720">
          <a:extLst>
            <a:ext uri="{FF2B5EF4-FFF2-40B4-BE49-F238E27FC236}">
              <a16:creationId xmlns:a16="http://schemas.microsoft.com/office/drawing/2014/main" id="{00000000-0008-0000-0200-00007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2" name="Text Box 721">
          <a:extLst>
            <a:ext uri="{FF2B5EF4-FFF2-40B4-BE49-F238E27FC236}">
              <a16:creationId xmlns:a16="http://schemas.microsoft.com/office/drawing/2014/main" id="{00000000-0008-0000-0200-00007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3" name="Text Box 722">
          <a:extLst>
            <a:ext uri="{FF2B5EF4-FFF2-40B4-BE49-F238E27FC236}">
              <a16:creationId xmlns:a16="http://schemas.microsoft.com/office/drawing/2014/main" id="{00000000-0008-0000-0200-00007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64" name="Text Box 723">
          <a:extLst>
            <a:ext uri="{FF2B5EF4-FFF2-40B4-BE49-F238E27FC236}">
              <a16:creationId xmlns:a16="http://schemas.microsoft.com/office/drawing/2014/main" id="{00000000-0008-0000-0200-000074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65" name="Text Box 724">
          <a:extLst>
            <a:ext uri="{FF2B5EF4-FFF2-40B4-BE49-F238E27FC236}">
              <a16:creationId xmlns:a16="http://schemas.microsoft.com/office/drawing/2014/main" id="{00000000-0008-0000-0200-00007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6" name="Text Box 725">
          <a:extLst>
            <a:ext uri="{FF2B5EF4-FFF2-40B4-BE49-F238E27FC236}">
              <a16:creationId xmlns:a16="http://schemas.microsoft.com/office/drawing/2014/main" id="{00000000-0008-0000-0200-00007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7" name="Text Box 726">
          <a:extLst>
            <a:ext uri="{FF2B5EF4-FFF2-40B4-BE49-F238E27FC236}">
              <a16:creationId xmlns:a16="http://schemas.microsoft.com/office/drawing/2014/main" id="{00000000-0008-0000-0200-00007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68" name="Text Box 727">
          <a:extLst>
            <a:ext uri="{FF2B5EF4-FFF2-40B4-BE49-F238E27FC236}">
              <a16:creationId xmlns:a16="http://schemas.microsoft.com/office/drawing/2014/main" id="{00000000-0008-0000-0200-00007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69" name="Text Box 728">
          <a:extLst>
            <a:ext uri="{FF2B5EF4-FFF2-40B4-BE49-F238E27FC236}">
              <a16:creationId xmlns:a16="http://schemas.microsoft.com/office/drawing/2014/main" id="{00000000-0008-0000-0200-00007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0" name="Text Box 729">
          <a:extLst>
            <a:ext uri="{FF2B5EF4-FFF2-40B4-BE49-F238E27FC236}">
              <a16:creationId xmlns:a16="http://schemas.microsoft.com/office/drawing/2014/main" id="{00000000-0008-0000-0200-00007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71" name="Text Box 730">
          <a:extLst>
            <a:ext uri="{FF2B5EF4-FFF2-40B4-BE49-F238E27FC236}">
              <a16:creationId xmlns:a16="http://schemas.microsoft.com/office/drawing/2014/main" id="{00000000-0008-0000-0200-00007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2" name="Text Box 731">
          <a:extLst>
            <a:ext uri="{FF2B5EF4-FFF2-40B4-BE49-F238E27FC236}">
              <a16:creationId xmlns:a16="http://schemas.microsoft.com/office/drawing/2014/main" id="{00000000-0008-0000-0200-00007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3" name="Text Box 732">
          <a:extLst>
            <a:ext uri="{FF2B5EF4-FFF2-40B4-BE49-F238E27FC236}">
              <a16:creationId xmlns:a16="http://schemas.microsoft.com/office/drawing/2014/main" id="{00000000-0008-0000-0200-00007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74" name="Text Box 733">
          <a:extLst>
            <a:ext uri="{FF2B5EF4-FFF2-40B4-BE49-F238E27FC236}">
              <a16:creationId xmlns:a16="http://schemas.microsoft.com/office/drawing/2014/main" id="{00000000-0008-0000-0200-00007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75" name="Text Box 734">
          <a:extLst>
            <a:ext uri="{FF2B5EF4-FFF2-40B4-BE49-F238E27FC236}">
              <a16:creationId xmlns:a16="http://schemas.microsoft.com/office/drawing/2014/main" id="{00000000-0008-0000-0200-00007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6" name="Text Box 735">
          <a:extLst>
            <a:ext uri="{FF2B5EF4-FFF2-40B4-BE49-F238E27FC236}">
              <a16:creationId xmlns:a16="http://schemas.microsoft.com/office/drawing/2014/main" id="{00000000-0008-0000-0200-00008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7" name="Text Box 736">
          <a:extLst>
            <a:ext uri="{FF2B5EF4-FFF2-40B4-BE49-F238E27FC236}">
              <a16:creationId xmlns:a16="http://schemas.microsoft.com/office/drawing/2014/main" id="{00000000-0008-0000-0200-00008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78" name="Text Box 737">
          <a:extLst>
            <a:ext uri="{FF2B5EF4-FFF2-40B4-BE49-F238E27FC236}">
              <a16:creationId xmlns:a16="http://schemas.microsoft.com/office/drawing/2014/main" id="{00000000-0008-0000-0200-00008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79" name="Text Box 738">
          <a:extLst>
            <a:ext uri="{FF2B5EF4-FFF2-40B4-BE49-F238E27FC236}">
              <a16:creationId xmlns:a16="http://schemas.microsoft.com/office/drawing/2014/main" id="{00000000-0008-0000-0200-00008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0" name="Text Box 739">
          <a:extLst>
            <a:ext uri="{FF2B5EF4-FFF2-40B4-BE49-F238E27FC236}">
              <a16:creationId xmlns:a16="http://schemas.microsoft.com/office/drawing/2014/main" id="{00000000-0008-0000-0200-00008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81" name="Text Box 740">
          <a:extLst>
            <a:ext uri="{FF2B5EF4-FFF2-40B4-BE49-F238E27FC236}">
              <a16:creationId xmlns:a16="http://schemas.microsoft.com/office/drawing/2014/main" id="{00000000-0008-0000-0200-00008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82" name="Text Box 741">
          <a:extLst>
            <a:ext uri="{FF2B5EF4-FFF2-40B4-BE49-F238E27FC236}">
              <a16:creationId xmlns:a16="http://schemas.microsoft.com/office/drawing/2014/main" id="{00000000-0008-0000-0200-00008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3" name="Text Box 742">
          <a:extLst>
            <a:ext uri="{FF2B5EF4-FFF2-40B4-BE49-F238E27FC236}">
              <a16:creationId xmlns:a16="http://schemas.microsoft.com/office/drawing/2014/main" id="{00000000-0008-0000-0200-00008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4" name="Text Box 743">
          <a:extLst>
            <a:ext uri="{FF2B5EF4-FFF2-40B4-BE49-F238E27FC236}">
              <a16:creationId xmlns:a16="http://schemas.microsoft.com/office/drawing/2014/main" id="{00000000-0008-0000-0200-00008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85" name="Text Box 744">
          <a:extLst>
            <a:ext uri="{FF2B5EF4-FFF2-40B4-BE49-F238E27FC236}">
              <a16:creationId xmlns:a16="http://schemas.microsoft.com/office/drawing/2014/main" id="{00000000-0008-0000-0200-00008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6" name="Text Box 745">
          <a:extLst>
            <a:ext uri="{FF2B5EF4-FFF2-40B4-BE49-F238E27FC236}">
              <a16:creationId xmlns:a16="http://schemas.microsoft.com/office/drawing/2014/main" id="{00000000-0008-0000-0200-00008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7" name="Text Box 746">
          <a:extLst>
            <a:ext uri="{FF2B5EF4-FFF2-40B4-BE49-F238E27FC236}">
              <a16:creationId xmlns:a16="http://schemas.microsoft.com/office/drawing/2014/main" id="{00000000-0008-0000-0200-00008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88" name="Text Box 747">
          <a:extLst>
            <a:ext uri="{FF2B5EF4-FFF2-40B4-BE49-F238E27FC236}">
              <a16:creationId xmlns:a16="http://schemas.microsoft.com/office/drawing/2014/main" id="{00000000-0008-0000-0200-00008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89" name="Text Box 748">
          <a:extLst>
            <a:ext uri="{FF2B5EF4-FFF2-40B4-BE49-F238E27FC236}">
              <a16:creationId xmlns:a16="http://schemas.microsoft.com/office/drawing/2014/main" id="{00000000-0008-0000-0200-00008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0" name="Text Box 749">
          <a:extLst>
            <a:ext uri="{FF2B5EF4-FFF2-40B4-BE49-F238E27FC236}">
              <a16:creationId xmlns:a16="http://schemas.microsoft.com/office/drawing/2014/main" id="{00000000-0008-0000-0200-00008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191" name="Text Box 750">
          <a:extLst>
            <a:ext uri="{FF2B5EF4-FFF2-40B4-BE49-F238E27FC236}">
              <a16:creationId xmlns:a16="http://schemas.microsoft.com/office/drawing/2014/main" id="{00000000-0008-0000-0200-00008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2" name="Text Box 751">
          <a:extLst>
            <a:ext uri="{FF2B5EF4-FFF2-40B4-BE49-F238E27FC236}">
              <a16:creationId xmlns:a16="http://schemas.microsoft.com/office/drawing/2014/main" id="{00000000-0008-0000-0200-00009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3" name="Text Box 752">
          <a:extLst>
            <a:ext uri="{FF2B5EF4-FFF2-40B4-BE49-F238E27FC236}">
              <a16:creationId xmlns:a16="http://schemas.microsoft.com/office/drawing/2014/main" id="{00000000-0008-0000-0200-00009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94" name="Text Box 753">
          <a:extLst>
            <a:ext uri="{FF2B5EF4-FFF2-40B4-BE49-F238E27FC236}">
              <a16:creationId xmlns:a16="http://schemas.microsoft.com/office/drawing/2014/main" id="{00000000-0008-0000-0200-00009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5" name="Text Box 754">
          <a:extLst>
            <a:ext uri="{FF2B5EF4-FFF2-40B4-BE49-F238E27FC236}">
              <a16:creationId xmlns:a16="http://schemas.microsoft.com/office/drawing/2014/main" id="{00000000-0008-0000-0200-00009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6" name="Text Box 755">
          <a:extLst>
            <a:ext uri="{FF2B5EF4-FFF2-40B4-BE49-F238E27FC236}">
              <a16:creationId xmlns:a16="http://schemas.microsoft.com/office/drawing/2014/main" id="{00000000-0008-0000-0200-00009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197" name="Text Box 756">
          <a:extLst>
            <a:ext uri="{FF2B5EF4-FFF2-40B4-BE49-F238E27FC236}">
              <a16:creationId xmlns:a16="http://schemas.microsoft.com/office/drawing/2014/main" id="{00000000-0008-0000-0200-00009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8" name="Text Box 757">
          <a:extLst>
            <a:ext uri="{FF2B5EF4-FFF2-40B4-BE49-F238E27FC236}">
              <a16:creationId xmlns:a16="http://schemas.microsoft.com/office/drawing/2014/main" id="{00000000-0008-0000-0200-00009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199" name="Text Box 758">
          <a:extLst>
            <a:ext uri="{FF2B5EF4-FFF2-40B4-BE49-F238E27FC236}">
              <a16:creationId xmlns:a16="http://schemas.microsoft.com/office/drawing/2014/main" id="{00000000-0008-0000-0200-00009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00" name="Text Box 759">
          <a:extLst>
            <a:ext uri="{FF2B5EF4-FFF2-40B4-BE49-F238E27FC236}">
              <a16:creationId xmlns:a16="http://schemas.microsoft.com/office/drawing/2014/main" id="{00000000-0008-0000-0200-00009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01" name="Text Box 760">
          <a:extLst>
            <a:ext uri="{FF2B5EF4-FFF2-40B4-BE49-F238E27FC236}">
              <a16:creationId xmlns:a16="http://schemas.microsoft.com/office/drawing/2014/main" id="{00000000-0008-0000-0200-00009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2" name="Text Box 761">
          <a:extLst>
            <a:ext uri="{FF2B5EF4-FFF2-40B4-BE49-F238E27FC236}">
              <a16:creationId xmlns:a16="http://schemas.microsoft.com/office/drawing/2014/main" id="{00000000-0008-0000-0200-00009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3" name="Text Box 762">
          <a:extLst>
            <a:ext uri="{FF2B5EF4-FFF2-40B4-BE49-F238E27FC236}">
              <a16:creationId xmlns:a16="http://schemas.microsoft.com/office/drawing/2014/main" id="{00000000-0008-0000-0200-00009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04" name="Text Box 763">
          <a:extLst>
            <a:ext uri="{FF2B5EF4-FFF2-40B4-BE49-F238E27FC236}">
              <a16:creationId xmlns:a16="http://schemas.microsoft.com/office/drawing/2014/main" id="{00000000-0008-0000-0200-00009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5" name="Text Box 764">
          <a:extLst>
            <a:ext uri="{FF2B5EF4-FFF2-40B4-BE49-F238E27FC236}">
              <a16:creationId xmlns:a16="http://schemas.microsoft.com/office/drawing/2014/main" id="{00000000-0008-0000-0200-00009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6" name="Text Box 765">
          <a:extLst>
            <a:ext uri="{FF2B5EF4-FFF2-40B4-BE49-F238E27FC236}">
              <a16:creationId xmlns:a16="http://schemas.microsoft.com/office/drawing/2014/main" id="{00000000-0008-0000-0200-00009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07" name="Text Box 766">
          <a:extLst>
            <a:ext uri="{FF2B5EF4-FFF2-40B4-BE49-F238E27FC236}">
              <a16:creationId xmlns:a16="http://schemas.microsoft.com/office/drawing/2014/main" id="{00000000-0008-0000-0200-00009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8" name="Text Box 767">
          <a:extLst>
            <a:ext uri="{FF2B5EF4-FFF2-40B4-BE49-F238E27FC236}">
              <a16:creationId xmlns:a16="http://schemas.microsoft.com/office/drawing/2014/main" id="{00000000-0008-0000-0200-0000A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09" name="Text Box 768">
          <a:extLst>
            <a:ext uri="{FF2B5EF4-FFF2-40B4-BE49-F238E27FC236}">
              <a16:creationId xmlns:a16="http://schemas.microsoft.com/office/drawing/2014/main" id="{00000000-0008-0000-0200-0000A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10" name="Text Box 769">
          <a:extLst>
            <a:ext uri="{FF2B5EF4-FFF2-40B4-BE49-F238E27FC236}">
              <a16:creationId xmlns:a16="http://schemas.microsoft.com/office/drawing/2014/main" id="{00000000-0008-0000-0200-0000A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1" name="Text Box 770">
          <a:extLst>
            <a:ext uri="{FF2B5EF4-FFF2-40B4-BE49-F238E27FC236}">
              <a16:creationId xmlns:a16="http://schemas.microsoft.com/office/drawing/2014/main" id="{00000000-0008-0000-0200-0000A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2" name="Text Box 771">
          <a:extLst>
            <a:ext uri="{FF2B5EF4-FFF2-40B4-BE49-F238E27FC236}">
              <a16:creationId xmlns:a16="http://schemas.microsoft.com/office/drawing/2014/main" id="{00000000-0008-0000-0200-0000A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13" name="Text Box 772">
          <a:extLst>
            <a:ext uri="{FF2B5EF4-FFF2-40B4-BE49-F238E27FC236}">
              <a16:creationId xmlns:a16="http://schemas.microsoft.com/office/drawing/2014/main" id="{00000000-0008-0000-0200-0000A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4" name="Text Box 773">
          <a:extLst>
            <a:ext uri="{FF2B5EF4-FFF2-40B4-BE49-F238E27FC236}">
              <a16:creationId xmlns:a16="http://schemas.microsoft.com/office/drawing/2014/main" id="{00000000-0008-0000-0200-0000A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5" name="Text Box 774">
          <a:extLst>
            <a:ext uri="{FF2B5EF4-FFF2-40B4-BE49-F238E27FC236}">
              <a16:creationId xmlns:a16="http://schemas.microsoft.com/office/drawing/2014/main" id="{00000000-0008-0000-0200-0000A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16" name="Text Box 775">
          <a:extLst>
            <a:ext uri="{FF2B5EF4-FFF2-40B4-BE49-F238E27FC236}">
              <a16:creationId xmlns:a16="http://schemas.microsoft.com/office/drawing/2014/main" id="{00000000-0008-0000-0200-0000A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7" name="Text Box 776">
          <a:extLst>
            <a:ext uri="{FF2B5EF4-FFF2-40B4-BE49-F238E27FC236}">
              <a16:creationId xmlns:a16="http://schemas.microsoft.com/office/drawing/2014/main" id="{00000000-0008-0000-0200-0000A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18" name="Text Box 777">
          <a:extLst>
            <a:ext uri="{FF2B5EF4-FFF2-40B4-BE49-F238E27FC236}">
              <a16:creationId xmlns:a16="http://schemas.microsoft.com/office/drawing/2014/main" id="{00000000-0008-0000-0200-0000A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19" name="Text Box 778">
          <a:extLst>
            <a:ext uri="{FF2B5EF4-FFF2-40B4-BE49-F238E27FC236}">
              <a16:creationId xmlns:a16="http://schemas.microsoft.com/office/drawing/2014/main" id="{00000000-0008-0000-0200-0000A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20" name="Text Box 779">
          <a:extLst>
            <a:ext uri="{FF2B5EF4-FFF2-40B4-BE49-F238E27FC236}">
              <a16:creationId xmlns:a16="http://schemas.microsoft.com/office/drawing/2014/main" id="{00000000-0008-0000-0200-0000A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1" name="Text Box 780">
          <a:extLst>
            <a:ext uri="{FF2B5EF4-FFF2-40B4-BE49-F238E27FC236}">
              <a16:creationId xmlns:a16="http://schemas.microsoft.com/office/drawing/2014/main" id="{00000000-0008-0000-0200-0000A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2" name="Text Box 781">
          <a:extLst>
            <a:ext uri="{FF2B5EF4-FFF2-40B4-BE49-F238E27FC236}">
              <a16:creationId xmlns:a16="http://schemas.microsoft.com/office/drawing/2014/main" id="{00000000-0008-0000-0200-0000A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23" name="Text Box 782">
          <a:extLst>
            <a:ext uri="{FF2B5EF4-FFF2-40B4-BE49-F238E27FC236}">
              <a16:creationId xmlns:a16="http://schemas.microsoft.com/office/drawing/2014/main" id="{00000000-0008-0000-0200-0000A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4" name="Text Box 783">
          <a:extLst>
            <a:ext uri="{FF2B5EF4-FFF2-40B4-BE49-F238E27FC236}">
              <a16:creationId xmlns:a16="http://schemas.microsoft.com/office/drawing/2014/main" id="{00000000-0008-0000-0200-0000B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5" name="Text Box 784">
          <a:extLst>
            <a:ext uri="{FF2B5EF4-FFF2-40B4-BE49-F238E27FC236}">
              <a16:creationId xmlns:a16="http://schemas.microsoft.com/office/drawing/2014/main" id="{00000000-0008-0000-0200-0000B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26" name="Text Box 785">
          <a:extLst>
            <a:ext uri="{FF2B5EF4-FFF2-40B4-BE49-F238E27FC236}">
              <a16:creationId xmlns:a16="http://schemas.microsoft.com/office/drawing/2014/main" id="{00000000-0008-0000-0200-0000B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7" name="Text Box 786">
          <a:extLst>
            <a:ext uri="{FF2B5EF4-FFF2-40B4-BE49-F238E27FC236}">
              <a16:creationId xmlns:a16="http://schemas.microsoft.com/office/drawing/2014/main" id="{00000000-0008-0000-0200-0000B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28" name="Text Box 787">
          <a:extLst>
            <a:ext uri="{FF2B5EF4-FFF2-40B4-BE49-F238E27FC236}">
              <a16:creationId xmlns:a16="http://schemas.microsoft.com/office/drawing/2014/main" id="{00000000-0008-0000-0200-0000B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29" name="Text Box 788">
          <a:extLst>
            <a:ext uri="{FF2B5EF4-FFF2-40B4-BE49-F238E27FC236}">
              <a16:creationId xmlns:a16="http://schemas.microsoft.com/office/drawing/2014/main" id="{00000000-0008-0000-0200-0000B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0" name="Text Box 789">
          <a:extLst>
            <a:ext uri="{FF2B5EF4-FFF2-40B4-BE49-F238E27FC236}">
              <a16:creationId xmlns:a16="http://schemas.microsoft.com/office/drawing/2014/main" id="{00000000-0008-0000-0200-0000B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1" name="Text Box 790">
          <a:extLst>
            <a:ext uri="{FF2B5EF4-FFF2-40B4-BE49-F238E27FC236}">
              <a16:creationId xmlns:a16="http://schemas.microsoft.com/office/drawing/2014/main" id="{00000000-0008-0000-0200-0000B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32" name="Text Box 791">
          <a:extLst>
            <a:ext uri="{FF2B5EF4-FFF2-40B4-BE49-F238E27FC236}">
              <a16:creationId xmlns:a16="http://schemas.microsoft.com/office/drawing/2014/main" id="{00000000-0008-0000-0200-0000B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3" name="Text Box 792">
          <a:extLst>
            <a:ext uri="{FF2B5EF4-FFF2-40B4-BE49-F238E27FC236}">
              <a16:creationId xmlns:a16="http://schemas.microsoft.com/office/drawing/2014/main" id="{00000000-0008-0000-0200-0000B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4" name="Text Box 793">
          <a:extLst>
            <a:ext uri="{FF2B5EF4-FFF2-40B4-BE49-F238E27FC236}">
              <a16:creationId xmlns:a16="http://schemas.microsoft.com/office/drawing/2014/main" id="{00000000-0008-0000-0200-0000B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35" name="Text Box 794">
          <a:extLst>
            <a:ext uri="{FF2B5EF4-FFF2-40B4-BE49-F238E27FC236}">
              <a16:creationId xmlns:a16="http://schemas.microsoft.com/office/drawing/2014/main" id="{00000000-0008-0000-0200-0000B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6" name="Text Box 795">
          <a:extLst>
            <a:ext uri="{FF2B5EF4-FFF2-40B4-BE49-F238E27FC236}">
              <a16:creationId xmlns:a16="http://schemas.microsoft.com/office/drawing/2014/main" id="{00000000-0008-0000-0200-0000B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37" name="Text Box 796">
          <a:extLst>
            <a:ext uri="{FF2B5EF4-FFF2-40B4-BE49-F238E27FC236}">
              <a16:creationId xmlns:a16="http://schemas.microsoft.com/office/drawing/2014/main" id="{00000000-0008-0000-0200-0000B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38" name="Text Box 797">
          <a:extLst>
            <a:ext uri="{FF2B5EF4-FFF2-40B4-BE49-F238E27FC236}">
              <a16:creationId xmlns:a16="http://schemas.microsoft.com/office/drawing/2014/main" id="{00000000-0008-0000-0200-0000B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39" name="Text Box 798">
          <a:extLst>
            <a:ext uri="{FF2B5EF4-FFF2-40B4-BE49-F238E27FC236}">
              <a16:creationId xmlns:a16="http://schemas.microsoft.com/office/drawing/2014/main" id="{00000000-0008-0000-0200-0000B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0" name="Text Box 799">
          <a:extLst>
            <a:ext uri="{FF2B5EF4-FFF2-40B4-BE49-F238E27FC236}">
              <a16:creationId xmlns:a16="http://schemas.microsoft.com/office/drawing/2014/main" id="{00000000-0008-0000-0200-0000C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1" name="Text Box 800">
          <a:extLst>
            <a:ext uri="{FF2B5EF4-FFF2-40B4-BE49-F238E27FC236}">
              <a16:creationId xmlns:a16="http://schemas.microsoft.com/office/drawing/2014/main" id="{00000000-0008-0000-0200-0000C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42" name="Text Box 801">
          <a:extLst>
            <a:ext uri="{FF2B5EF4-FFF2-40B4-BE49-F238E27FC236}">
              <a16:creationId xmlns:a16="http://schemas.microsoft.com/office/drawing/2014/main" id="{00000000-0008-0000-0200-0000C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3" name="Text Box 802">
          <a:extLst>
            <a:ext uri="{FF2B5EF4-FFF2-40B4-BE49-F238E27FC236}">
              <a16:creationId xmlns:a16="http://schemas.microsoft.com/office/drawing/2014/main" id="{00000000-0008-0000-0200-0000C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4" name="Text Box 803">
          <a:extLst>
            <a:ext uri="{FF2B5EF4-FFF2-40B4-BE49-F238E27FC236}">
              <a16:creationId xmlns:a16="http://schemas.microsoft.com/office/drawing/2014/main" id="{00000000-0008-0000-0200-0000C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45" name="Text Box 804">
          <a:extLst>
            <a:ext uri="{FF2B5EF4-FFF2-40B4-BE49-F238E27FC236}">
              <a16:creationId xmlns:a16="http://schemas.microsoft.com/office/drawing/2014/main" id="{00000000-0008-0000-0200-0000C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6" name="Text Box 805">
          <a:extLst>
            <a:ext uri="{FF2B5EF4-FFF2-40B4-BE49-F238E27FC236}">
              <a16:creationId xmlns:a16="http://schemas.microsoft.com/office/drawing/2014/main" id="{00000000-0008-0000-0200-0000C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7" name="Text Box 806">
          <a:extLst>
            <a:ext uri="{FF2B5EF4-FFF2-40B4-BE49-F238E27FC236}">
              <a16:creationId xmlns:a16="http://schemas.microsoft.com/office/drawing/2014/main" id="{00000000-0008-0000-0200-0000C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48" name="Text Box 807">
          <a:extLst>
            <a:ext uri="{FF2B5EF4-FFF2-40B4-BE49-F238E27FC236}">
              <a16:creationId xmlns:a16="http://schemas.microsoft.com/office/drawing/2014/main" id="{00000000-0008-0000-0200-0000C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49" name="Text Box 808">
          <a:extLst>
            <a:ext uri="{FF2B5EF4-FFF2-40B4-BE49-F238E27FC236}">
              <a16:creationId xmlns:a16="http://schemas.microsoft.com/office/drawing/2014/main" id="{00000000-0008-0000-0200-0000C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0" name="Text Box 809">
          <a:extLst>
            <a:ext uri="{FF2B5EF4-FFF2-40B4-BE49-F238E27FC236}">
              <a16:creationId xmlns:a16="http://schemas.microsoft.com/office/drawing/2014/main" id="{00000000-0008-0000-0200-0000C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51" name="Text Box 810">
          <a:extLst>
            <a:ext uri="{FF2B5EF4-FFF2-40B4-BE49-F238E27FC236}">
              <a16:creationId xmlns:a16="http://schemas.microsoft.com/office/drawing/2014/main" id="{00000000-0008-0000-0200-0000C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2" name="Text Box 811">
          <a:extLst>
            <a:ext uri="{FF2B5EF4-FFF2-40B4-BE49-F238E27FC236}">
              <a16:creationId xmlns:a16="http://schemas.microsoft.com/office/drawing/2014/main" id="{00000000-0008-0000-0200-0000C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3" name="Text Box 812">
          <a:extLst>
            <a:ext uri="{FF2B5EF4-FFF2-40B4-BE49-F238E27FC236}">
              <a16:creationId xmlns:a16="http://schemas.microsoft.com/office/drawing/2014/main" id="{00000000-0008-0000-0200-0000C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54" name="Text Box 813">
          <a:extLst>
            <a:ext uri="{FF2B5EF4-FFF2-40B4-BE49-F238E27FC236}">
              <a16:creationId xmlns:a16="http://schemas.microsoft.com/office/drawing/2014/main" id="{00000000-0008-0000-0200-0000C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5" name="Text Box 814">
          <a:extLst>
            <a:ext uri="{FF2B5EF4-FFF2-40B4-BE49-F238E27FC236}">
              <a16:creationId xmlns:a16="http://schemas.microsoft.com/office/drawing/2014/main" id="{00000000-0008-0000-0200-0000C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6" name="Text Box 815">
          <a:extLst>
            <a:ext uri="{FF2B5EF4-FFF2-40B4-BE49-F238E27FC236}">
              <a16:creationId xmlns:a16="http://schemas.microsoft.com/office/drawing/2014/main" id="{00000000-0008-0000-0200-0000D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57" name="Text Box 816">
          <a:extLst>
            <a:ext uri="{FF2B5EF4-FFF2-40B4-BE49-F238E27FC236}">
              <a16:creationId xmlns:a16="http://schemas.microsoft.com/office/drawing/2014/main" id="{00000000-0008-0000-0200-0000D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58" name="Text Box 817">
          <a:extLst>
            <a:ext uri="{FF2B5EF4-FFF2-40B4-BE49-F238E27FC236}">
              <a16:creationId xmlns:a16="http://schemas.microsoft.com/office/drawing/2014/main" id="{00000000-0008-0000-0200-0000D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59" name="Text Box 818">
          <a:extLst>
            <a:ext uri="{FF2B5EF4-FFF2-40B4-BE49-F238E27FC236}">
              <a16:creationId xmlns:a16="http://schemas.microsoft.com/office/drawing/2014/main" id="{00000000-0008-0000-0200-0000D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0" name="Text Box 819">
          <a:extLst>
            <a:ext uri="{FF2B5EF4-FFF2-40B4-BE49-F238E27FC236}">
              <a16:creationId xmlns:a16="http://schemas.microsoft.com/office/drawing/2014/main" id="{00000000-0008-0000-0200-0000D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61" name="Text Box 820">
          <a:extLst>
            <a:ext uri="{FF2B5EF4-FFF2-40B4-BE49-F238E27FC236}">
              <a16:creationId xmlns:a16="http://schemas.microsoft.com/office/drawing/2014/main" id="{00000000-0008-0000-0200-0000D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2" name="Text Box 821">
          <a:extLst>
            <a:ext uri="{FF2B5EF4-FFF2-40B4-BE49-F238E27FC236}">
              <a16:creationId xmlns:a16="http://schemas.microsoft.com/office/drawing/2014/main" id="{00000000-0008-0000-0200-0000D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3" name="Text Box 822">
          <a:extLst>
            <a:ext uri="{FF2B5EF4-FFF2-40B4-BE49-F238E27FC236}">
              <a16:creationId xmlns:a16="http://schemas.microsoft.com/office/drawing/2014/main" id="{00000000-0008-0000-0200-0000D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64" name="Text Box 823">
          <a:extLst>
            <a:ext uri="{FF2B5EF4-FFF2-40B4-BE49-F238E27FC236}">
              <a16:creationId xmlns:a16="http://schemas.microsoft.com/office/drawing/2014/main" id="{00000000-0008-0000-0200-0000D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5" name="Text Box 824">
          <a:extLst>
            <a:ext uri="{FF2B5EF4-FFF2-40B4-BE49-F238E27FC236}">
              <a16:creationId xmlns:a16="http://schemas.microsoft.com/office/drawing/2014/main" id="{00000000-0008-0000-0200-0000D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6" name="Text Box 825">
          <a:extLst>
            <a:ext uri="{FF2B5EF4-FFF2-40B4-BE49-F238E27FC236}">
              <a16:creationId xmlns:a16="http://schemas.microsoft.com/office/drawing/2014/main" id="{00000000-0008-0000-0200-0000D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4"/>
    <xdr:sp macro="" textlink="">
      <xdr:nvSpPr>
        <xdr:cNvPr id="2267" name="Text Box 826">
          <a:extLst>
            <a:ext uri="{FF2B5EF4-FFF2-40B4-BE49-F238E27FC236}">
              <a16:creationId xmlns:a16="http://schemas.microsoft.com/office/drawing/2014/main" id="{00000000-0008-0000-0200-0000D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8" name="Text Box 827">
          <a:extLst>
            <a:ext uri="{FF2B5EF4-FFF2-40B4-BE49-F238E27FC236}">
              <a16:creationId xmlns:a16="http://schemas.microsoft.com/office/drawing/2014/main" id="{00000000-0008-0000-0200-0000D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69" name="Text Box 828">
          <a:extLst>
            <a:ext uri="{FF2B5EF4-FFF2-40B4-BE49-F238E27FC236}">
              <a16:creationId xmlns:a16="http://schemas.microsoft.com/office/drawing/2014/main" id="{00000000-0008-0000-0200-0000D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70" name="Text Box 829">
          <a:extLst>
            <a:ext uri="{FF2B5EF4-FFF2-40B4-BE49-F238E27FC236}">
              <a16:creationId xmlns:a16="http://schemas.microsoft.com/office/drawing/2014/main" id="{00000000-0008-0000-0200-0000D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1" name="Text Box 830">
          <a:extLst>
            <a:ext uri="{FF2B5EF4-FFF2-40B4-BE49-F238E27FC236}">
              <a16:creationId xmlns:a16="http://schemas.microsoft.com/office/drawing/2014/main" id="{00000000-0008-0000-0200-0000D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2" name="Text Box 831">
          <a:extLst>
            <a:ext uri="{FF2B5EF4-FFF2-40B4-BE49-F238E27FC236}">
              <a16:creationId xmlns:a16="http://schemas.microsoft.com/office/drawing/2014/main" id="{00000000-0008-0000-0200-0000E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73" name="Text Box 832">
          <a:extLst>
            <a:ext uri="{FF2B5EF4-FFF2-40B4-BE49-F238E27FC236}">
              <a16:creationId xmlns:a16="http://schemas.microsoft.com/office/drawing/2014/main" id="{00000000-0008-0000-0200-0000E1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4" name="Text Box 833">
          <a:extLst>
            <a:ext uri="{FF2B5EF4-FFF2-40B4-BE49-F238E27FC236}">
              <a16:creationId xmlns:a16="http://schemas.microsoft.com/office/drawing/2014/main" id="{00000000-0008-0000-0200-0000E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5" name="Text Box 834">
          <a:extLst>
            <a:ext uri="{FF2B5EF4-FFF2-40B4-BE49-F238E27FC236}">
              <a16:creationId xmlns:a16="http://schemas.microsoft.com/office/drawing/2014/main" id="{00000000-0008-0000-0200-0000E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76" name="Text Box 835">
          <a:extLst>
            <a:ext uri="{FF2B5EF4-FFF2-40B4-BE49-F238E27FC236}">
              <a16:creationId xmlns:a16="http://schemas.microsoft.com/office/drawing/2014/main" id="{00000000-0008-0000-0200-0000E4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77" name="Text Box 836">
          <a:extLst>
            <a:ext uri="{FF2B5EF4-FFF2-40B4-BE49-F238E27FC236}">
              <a16:creationId xmlns:a16="http://schemas.microsoft.com/office/drawing/2014/main" id="{00000000-0008-0000-0200-0000E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8" name="Text Box 837">
          <a:extLst>
            <a:ext uri="{FF2B5EF4-FFF2-40B4-BE49-F238E27FC236}">
              <a16:creationId xmlns:a16="http://schemas.microsoft.com/office/drawing/2014/main" id="{00000000-0008-0000-0200-0000E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79" name="Text Box 838">
          <a:extLst>
            <a:ext uri="{FF2B5EF4-FFF2-40B4-BE49-F238E27FC236}">
              <a16:creationId xmlns:a16="http://schemas.microsoft.com/office/drawing/2014/main" id="{00000000-0008-0000-0200-0000E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80" name="Text Box 839">
          <a:extLst>
            <a:ext uri="{FF2B5EF4-FFF2-40B4-BE49-F238E27FC236}">
              <a16:creationId xmlns:a16="http://schemas.microsoft.com/office/drawing/2014/main" id="{00000000-0008-0000-0200-0000E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1" name="Text Box 840">
          <a:extLst>
            <a:ext uri="{FF2B5EF4-FFF2-40B4-BE49-F238E27FC236}">
              <a16:creationId xmlns:a16="http://schemas.microsoft.com/office/drawing/2014/main" id="{00000000-0008-0000-0200-0000E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2" name="Text Box 841">
          <a:extLst>
            <a:ext uri="{FF2B5EF4-FFF2-40B4-BE49-F238E27FC236}">
              <a16:creationId xmlns:a16="http://schemas.microsoft.com/office/drawing/2014/main" id="{00000000-0008-0000-0200-0000E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83" name="Text Box 842">
          <a:extLst>
            <a:ext uri="{FF2B5EF4-FFF2-40B4-BE49-F238E27FC236}">
              <a16:creationId xmlns:a16="http://schemas.microsoft.com/office/drawing/2014/main" id="{00000000-0008-0000-0200-0000E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4" name="Text Box 843">
          <a:extLst>
            <a:ext uri="{FF2B5EF4-FFF2-40B4-BE49-F238E27FC236}">
              <a16:creationId xmlns:a16="http://schemas.microsoft.com/office/drawing/2014/main" id="{00000000-0008-0000-0200-0000E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5" name="Text Box 844">
          <a:extLst>
            <a:ext uri="{FF2B5EF4-FFF2-40B4-BE49-F238E27FC236}">
              <a16:creationId xmlns:a16="http://schemas.microsoft.com/office/drawing/2014/main" id="{00000000-0008-0000-0200-0000E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5"/>
    <xdr:sp macro="" textlink="">
      <xdr:nvSpPr>
        <xdr:cNvPr id="2286" name="Text Box 845">
          <a:extLst>
            <a:ext uri="{FF2B5EF4-FFF2-40B4-BE49-F238E27FC236}">
              <a16:creationId xmlns:a16="http://schemas.microsoft.com/office/drawing/2014/main" id="{00000000-0008-0000-0200-0000E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7" name="Text Box 846">
          <a:extLst>
            <a:ext uri="{FF2B5EF4-FFF2-40B4-BE49-F238E27FC236}">
              <a16:creationId xmlns:a16="http://schemas.microsoft.com/office/drawing/2014/main" id="{00000000-0008-0000-0200-0000E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88" name="Text Box 847">
          <a:extLst>
            <a:ext uri="{FF2B5EF4-FFF2-40B4-BE49-F238E27FC236}">
              <a16:creationId xmlns:a16="http://schemas.microsoft.com/office/drawing/2014/main" id="{00000000-0008-0000-0200-0000F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289" name="Text Box 848">
          <a:extLst>
            <a:ext uri="{FF2B5EF4-FFF2-40B4-BE49-F238E27FC236}">
              <a16:creationId xmlns:a16="http://schemas.microsoft.com/office/drawing/2014/main" id="{00000000-0008-0000-0200-0000F1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0" name="Text Box 849">
          <a:extLst>
            <a:ext uri="{FF2B5EF4-FFF2-40B4-BE49-F238E27FC236}">
              <a16:creationId xmlns:a16="http://schemas.microsoft.com/office/drawing/2014/main" id="{00000000-0008-0000-0200-0000F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1" name="Text Box 850">
          <a:extLst>
            <a:ext uri="{FF2B5EF4-FFF2-40B4-BE49-F238E27FC236}">
              <a16:creationId xmlns:a16="http://schemas.microsoft.com/office/drawing/2014/main" id="{00000000-0008-0000-0200-0000F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292" name="Text Box 851">
          <a:extLst>
            <a:ext uri="{FF2B5EF4-FFF2-40B4-BE49-F238E27FC236}">
              <a16:creationId xmlns:a16="http://schemas.microsoft.com/office/drawing/2014/main" id="{00000000-0008-0000-0200-0000F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3" name="Text Box 852">
          <a:extLst>
            <a:ext uri="{FF2B5EF4-FFF2-40B4-BE49-F238E27FC236}">
              <a16:creationId xmlns:a16="http://schemas.microsoft.com/office/drawing/2014/main" id="{00000000-0008-0000-0200-0000F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4" name="Text Box 853">
          <a:extLst>
            <a:ext uri="{FF2B5EF4-FFF2-40B4-BE49-F238E27FC236}">
              <a16:creationId xmlns:a16="http://schemas.microsoft.com/office/drawing/2014/main" id="{00000000-0008-0000-0200-0000F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295" name="Text Box 854">
          <a:extLst>
            <a:ext uri="{FF2B5EF4-FFF2-40B4-BE49-F238E27FC236}">
              <a16:creationId xmlns:a16="http://schemas.microsoft.com/office/drawing/2014/main" id="{00000000-0008-0000-0200-0000F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296" name="Text Box 855">
          <a:extLst>
            <a:ext uri="{FF2B5EF4-FFF2-40B4-BE49-F238E27FC236}">
              <a16:creationId xmlns:a16="http://schemas.microsoft.com/office/drawing/2014/main" id="{00000000-0008-0000-0200-0000F8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7" name="Text Box 856">
          <a:extLst>
            <a:ext uri="{FF2B5EF4-FFF2-40B4-BE49-F238E27FC236}">
              <a16:creationId xmlns:a16="http://schemas.microsoft.com/office/drawing/2014/main" id="{00000000-0008-0000-0200-0000F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298" name="Text Box 857">
          <a:extLst>
            <a:ext uri="{FF2B5EF4-FFF2-40B4-BE49-F238E27FC236}">
              <a16:creationId xmlns:a16="http://schemas.microsoft.com/office/drawing/2014/main" id="{00000000-0008-0000-0200-0000F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299" name="Text Box 858">
          <a:extLst>
            <a:ext uri="{FF2B5EF4-FFF2-40B4-BE49-F238E27FC236}">
              <a16:creationId xmlns:a16="http://schemas.microsoft.com/office/drawing/2014/main" id="{00000000-0008-0000-0200-0000FB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0" name="Text Box 859">
          <a:extLst>
            <a:ext uri="{FF2B5EF4-FFF2-40B4-BE49-F238E27FC236}">
              <a16:creationId xmlns:a16="http://schemas.microsoft.com/office/drawing/2014/main" id="{00000000-0008-0000-0200-0000F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1" name="Text Box 860">
          <a:extLst>
            <a:ext uri="{FF2B5EF4-FFF2-40B4-BE49-F238E27FC236}">
              <a16:creationId xmlns:a16="http://schemas.microsoft.com/office/drawing/2014/main" id="{00000000-0008-0000-0200-0000F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302" name="Text Box 861">
          <a:extLst>
            <a:ext uri="{FF2B5EF4-FFF2-40B4-BE49-F238E27FC236}">
              <a16:creationId xmlns:a16="http://schemas.microsoft.com/office/drawing/2014/main" id="{00000000-0008-0000-0200-0000FE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3" name="Text Box 862">
          <a:extLst>
            <a:ext uri="{FF2B5EF4-FFF2-40B4-BE49-F238E27FC236}">
              <a16:creationId xmlns:a16="http://schemas.microsoft.com/office/drawing/2014/main" id="{00000000-0008-0000-0200-0000F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4" name="Text Box 863">
          <a:extLst>
            <a:ext uri="{FF2B5EF4-FFF2-40B4-BE49-F238E27FC236}">
              <a16:creationId xmlns:a16="http://schemas.microsoft.com/office/drawing/2014/main" id="{00000000-0008-0000-0200-000000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305" name="Text Box 864">
          <a:extLst>
            <a:ext uri="{FF2B5EF4-FFF2-40B4-BE49-F238E27FC236}">
              <a16:creationId xmlns:a16="http://schemas.microsoft.com/office/drawing/2014/main" id="{00000000-0008-0000-0200-000001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6" name="Text Box 865">
          <a:extLst>
            <a:ext uri="{FF2B5EF4-FFF2-40B4-BE49-F238E27FC236}">
              <a16:creationId xmlns:a16="http://schemas.microsoft.com/office/drawing/2014/main" id="{00000000-0008-0000-0200-000002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38100"/>
    <xdr:sp macro="" textlink="">
      <xdr:nvSpPr>
        <xdr:cNvPr id="2307" name="Text Box 866">
          <a:extLst>
            <a:ext uri="{FF2B5EF4-FFF2-40B4-BE49-F238E27FC236}">
              <a16:creationId xmlns:a16="http://schemas.microsoft.com/office/drawing/2014/main" id="{00000000-0008-0000-0200-000003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324</xdr:row>
      <xdr:rowOff>0</xdr:rowOff>
    </xdr:from>
    <xdr:ext cx="0" cy="28576"/>
    <xdr:sp macro="" textlink="">
      <xdr:nvSpPr>
        <xdr:cNvPr id="2308" name="Text Box 867">
          <a:extLst>
            <a:ext uri="{FF2B5EF4-FFF2-40B4-BE49-F238E27FC236}">
              <a16:creationId xmlns:a16="http://schemas.microsoft.com/office/drawing/2014/main" id="{00000000-0008-0000-0200-000004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324</xdr:row>
      <xdr:rowOff>0</xdr:rowOff>
    </xdr:from>
    <xdr:ext cx="0" cy="38100"/>
    <xdr:sp macro="" textlink="">
      <xdr:nvSpPr>
        <xdr:cNvPr id="2309" name="Text Box 868">
          <a:extLst>
            <a:ext uri="{FF2B5EF4-FFF2-40B4-BE49-F238E27FC236}">
              <a16:creationId xmlns:a16="http://schemas.microsoft.com/office/drawing/2014/main" id="{00000000-0008-0000-0200-000005090000}"/>
            </a:ext>
          </a:extLst>
        </xdr:cNvPr>
        <xdr:cNvSpPr txBox="1">
          <a:spLocks noChangeArrowheads="1"/>
        </xdr:cNvSpPr>
      </xdr:nvSpPr>
      <xdr:spPr bwMode="auto">
        <a:xfrm>
          <a:off x="136207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324</xdr:row>
      <xdr:rowOff>0</xdr:rowOff>
    </xdr:from>
    <xdr:ext cx="0" cy="38100"/>
    <xdr:sp macro="" textlink="">
      <xdr:nvSpPr>
        <xdr:cNvPr id="2310" name="Text Box 869">
          <a:extLst>
            <a:ext uri="{FF2B5EF4-FFF2-40B4-BE49-F238E27FC236}">
              <a16:creationId xmlns:a16="http://schemas.microsoft.com/office/drawing/2014/main" id="{00000000-0008-0000-0200-000006090000}"/>
            </a:ext>
          </a:extLst>
        </xdr:cNvPr>
        <xdr:cNvSpPr txBox="1">
          <a:spLocks noChangeArrowheads="1"/>
        </xdr:cNvSpPr>
      </xdr:nvSpPr>
      <xdr:spPr bwMode="auto">
        <a:xfrm>
          <a:off x="3171825" y="15101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or%20Dominicini/Downloads/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showRuler="0" view="pageBreakPreview" zoomScaleNormal="100" zoomScaleSheetLayoutView="100" zoomScalePageLayoutView="70" workbookViewId="0">
      <selection activeCell="D4" sqref="D4"/>
    </sheetView>
  </sheetViews>
  <sheetFormatPr defaultColWidth="10.7109375" defaultRowHeight="15" customHeight="1" x14ac:dyDescent="0.2"/>
  <cols>
    <col min="1" max="1" width="20.7109375" style="42" customWidth="1"/>
    <col min="2" max="2" width="64.42578125" style="42" customWidth="1"/>
    <col min="3" max="3" width="10.7109375" style="42" customWidth="1"/>
    <col min="4" max="4" width="40.7109375" style="42" customWidth="1"/>
    <col min="5" max="16384" width="10.7109375" style="42"/>
  </cols>
  <sheetData>
    <row r="1" spans="1:4" ht="15" customHeight="1" x14ac:dyDescent="0.2">
      <c r="A1" s="486" t="s">
        <v>20</v>
      </c>
      <c r="B1" s="487"/>
      <c r="C1" s="487"/>
      <c r="D1" s="488"/>
    </row>
    <row r="2" spans="1:4" ht="15" customHeight="1" x14ac:dyDescent="0.2">
      <c r="A2" s="489" t="s">
        <v>807</v>
      </c>
      <c r="B2" s="490"/>
      <c r="C2" s="391"/>
      <c r="D2" s="62"/>
    </row>
    <row r="3" spans="1:4" ht="15" customHeight="1" x14ac:dyDescent="0.2">
      <c r="A3" s="489" t="s">
        <v>859</v>
      </c>
      <c r="B3" s="490"/>
      <c r="C3" s="391"/>
      <c r="D3" s="471" t="s">
        <v>874</v>
      </c>
    </row>
    <row r="4" spans="1:4" s="44" customFormat="1" ht="15" customHeight="1" x14ac:dyDescent="0.2">
      <c r="A4" s="491" t="s">
        <v>34</v>
      </c>
      <c r="B4" s="43" t="s">
        <v>39</v>
      </c>
      <c r="C4" s="391"/>
      <c r="D4" s="63"/>
    </row>
    <row r="5" spans="1:4" s="47" customFormat="1" ht="15" customHeight="1" x14ac:dyDescent="0.2">
      <c r="A5" s="492"/>
      <c r="B5" s="45" t="s">
        <v>35</v>
      </c>
      <c r="C5" s="46"/>
      <c r="D5" s="64"/>
    </row>
    <row r="6" spans="1:4" ht="15" customHeight="1" x14ac:dyDescent="0.2">
      <c r="A6" s="493" t="s">
        <v>0</v>
      </c>
      <c r="B6" s="493" t="s">
        <v>11</v>
      </c>
      <c r="C6" s="495" t="s">
        <v>32</v>
      </c>
      <c r="D6" s="496" t="s">
        <v>28</v>
      </c>
    </row>
    <row r="7" spans="1:4" ht="15" customHeight="1" x14ac:dyDescent="0.2">
      <c r="A7" s="494"/>
      <c r="B7" s="494"/>
      <c r="C7" s="493"/>
      <c r="D7" s="497"/>
    </row>
    <row r="8" spans="1:4" ht="15" customHeight="1" x14ac:dyDescent="0.2">
      <c r="A8" s="479" t="s">
        <v>26</v>
      </c>
      <c r="B8" s="480" t="str">
        <f>'Planilha Orçamentária'!D8</f>
        <v>SERVIÇOS PRELIMINARES</v>
      </c>
      <c r="C8" s="481">
        <f>D8/$C$32</f>
        <v>2.5893018073509227E-2</v>
      </c>
      <c r="D8" s="483">
        <f>'Planilha Orçamentária'!H14</f>
        <v>7109.57</v>
      </c>
    </row>
    <row r="9" spans="1:4" ht="15" customHeight="1" x14ac:dyDescent="0.2">
      <c r="A9" s="479"/>
      <c r="B9" s="480"/>
      <c r="C9" s="482"/>
      <c r="D9" s="483"/>
    </row>
    <row r="10" spans="1:4" ht="15" customHeight="1" x14ac:dyDescent="0.2">
      <c r="A10" s="479" t="s">
        <v>25</v>
      </c>
      <c r="B10" s="480" t="str">
        <f>'Planilha Orçamentária'!D16</f>
        <v>INFRAESTRUTURA E SUPERESTRUTURA</v>
      </c>
      <c r="C10" s="481">
        <f t="shared" ref="C10" si="0">D10/$C$32</f>
        <v>0.24171181192563243</v>
      </c>
      <c r="D10" s="483">
        <f>'Planilha Orçamentária'!H59</f>
        <v>66367.970000000016</v>
      </c>
    </row>
    <row r="11" spans="1:4" ht="15" customHeight="1" x14ac:dyDescent="0.2">
      <c r="A11" s="479"/>
      <c r="B11" s="480"/>
      <c r="C11" s="482"/>
      <c r="D11" s="483"/>
    </row>
    <row r="12" spans="1:4" ht="15" customHeight="1" x14ac:dyDescent="0.2">
      <c r="A12" s="479" t="s">
        <v>24</v>
      </c>
      <c r="B12" s="480" t="str">
        <f>'Planilha Orçamentária'!D61</f>
        <v>PAREDES E DIVISÓRIAS</v>
      </c>
      <c r="C12" s="481">
        <f t="shared" ref="C12" si="1">D12/$C$32</f>
        <v>0.10071514577139438</v>
      </c>
      <c r="D12" s="483">
        <f>'Planilha Orçamentária'!H69</f>
        <v>27653.84</v>
      </c>
    </row>
    <row r="13" spans="1:4" ht="15" customHeight="1" x14ac:dyDescent="0.2">
      <c r="A13" s="479"/>
      <c r="B13" s="480"/>
      <c r="C13" s="482"/>
      <c r="D13" s="483"/>
    </row>
    <row r="14" spans="1:4" ht="15" customHeight="1" x14ac:dyDescent="0.2">
      <c r="A14" s="479" t="s">
        <v>23</v>
      </c>
      <c r="B14" s="480" t="str">
        <f>'Planilha Orçamentária'!D71</f>
        <v>REVESTIMENTO DE PAREDES</v>
      </c>
      <c r="C14" s="481">
        <f t="shared" ref="C14:C30" si="2">D14/$C$32</f>
        <v>0.11111661052349345</v>
      </c>
      <c r="D14" s="483">
        <f>'Planilha Orçamentária'!H76</f>
        <v>30509.82</v>
      </c>
    </row>
    <row r="15" spans="1:4" ht="15" customHeight="1" x14ac:dyDescent="0.2">
      <c r="A15" s="479"/>
      <c r="B15" s="480"/>
      <c r="C15" s="482"/>
      <c r="D15" s="483"/>
    </row>
    <row r="16" spans="1:4" ht="15" customHeight="1" x14ac:dyDescent="0.2">
      <c r="A16" s="484" t="s">
        <v>87</v>
      </c>
      <c r="B16" s="500" t="str">
        <f>'Planilha Orçamentária'!D78</f>
        <v>REVESTIMENTO DE PISOS</v>
      </c>
      <c r="C16" s="481">
        <f t="shared" si="2"/>
        <v>2.4597487628052094E-2</v>
      </c>
      <c r="D16" s="502">
        <f>'Planilha Orçamentária'!H83</f>
        <v>6753.8500000000013</v>
      </c>
    </row>
    <row r="17" spans="1:4" ht="15" customHeight="1" x14ac:dyDescent="0.2">
      <c r="A17" s="485"/>
      <c r="B17" s="501"/>
      <c r="C17" s="482"/>
      <c r="D17" s="503"/>
    </row>
    <row r="18" spans="1:4" ht="15" customHeight="1" x14ac:dyDescent="0.2">
      <c r="A18" s="484" t="s">
        <v>105</v>
      </c>
      <c r="B18" s="500" t="str">
        <f>'Planilha Orçamentária'!D85</f>
        <v>REVESTIMENTO DE TETOS</v>
      </c>
      <c r="C18" s="481">
        <f t="shared" si="2"/>
        <v>4.6676535744596213E-3</v>
      </c>
      <c r="D18" s="502">
        <f>'Planilha Orçamentária'!H87</f>
        <v>1281.6199999999999</v>
      </c>
    </row>
    <row r="19" spans="1:4" ht="15" customHeight="1" x14ac:dyDescent="0.2">
      <c r="A19" s="485"/>
      <c r="B19" s="501"/>
      <c r="C19" s="482"/>
      <c r="D19" s="503"/>
    </row>
    <row r="20" spans="1:4" ht="15" customHeight="1" x14ac:dyDescent="0.2">
      <c r="A20" s="484" t="s">
        <v>108</v>
      </c>
      <c r="B20" s="500" t="str">
        <f>'Planilha Orçamentária'!D89</f>
        <v>ESQUADRIAS</v>
      </c>
      <c r="C20" s="481">
        <f t="shared" si="2"/>
        <v>4.5505670786454955E-2</v>
      </c>
      <c r="D20" s="502">
        <f>'Planilha Orçamentária'!H96</f>
        <v>12494.710000000003</v>
      </c>
    </row>
    <row r="21" spans="1:4" ht="15" customHeight="1" x14ac:dyDescent="0.2">
      <c r="A21" s="485"/>
      <c r="B21" s="501"/>
      <c r="C21" s="482"/>
      <c r="D21" s="503"/>
    </row>
    <row r="22" spans="1:4" ht="15" customHeight="1" x14ac:dyDescent="0.2">
      <c r="A22" s="484" t="s">
        <v>109</v>
      </c>
      <c r="B22" s="500" t="str">
        <f>'Planilha Orçamentária'!D98</f>
        <v>COBERTURA</v>
      </c>
      <c r="C22" s="481">
        <f t="shared" si="2"/>
        <v>0.21996312917147273</v>
      </c>
      <c r="D22" s="502">
        <f>'Planilha Orçamentária'!H103</f>
        <v>60396.329999999994</v>
      </c>
    </row>
    <row r="23" spans="1:4" ht="15" customHeight="1" x14ac:dyDescent="0.2">
      <c r="A23" s="485"/>
      <c r="B23" s="501"/>
      <c r="C23" s="482"/>
      <c r="D23" s="503"/>
    </row>
    <row r="24" spans="1:4" ht="15" customHeight="1" x14ac:dyDescent="0.2">
      <c r="A24" s="484" t="s">
        <v>802</v>
      </c>
      <c r="B24" s="500" t="str">
        <f>'Planilha Orçamentária'!D105</f>
        <v>INSTALAÇÕES HIDROSSANITÁRIAS</v>
      </c>
      <c r="C24" s="481">
        <f t="shared" si="2"/>
        <v>5.4481185253751813E-2</v>
      </c>
      <c r="D24" s="502">
        <f>'Planilha Orçamentária'!H138</f>
        <v>14959.16</v>
      </c>
    </row>
    <row r="25" spans="1:4" ht="15" customHeight="1" x14ac:dyDescent="0.2">
      <c r="A25" s="485"/>
      <c r="B25" s="501"/>
      <c r="C25" s="482"/>
      <c r="D25" s="503"/>
    </row>
    <row r="26" spans="1:4" ht="15" customHeight="1" x14ac:dyDescent="0.2">
      <c r="A26" s="498">
        <v>10</v>
      </c>
      <c r="B26" s="500" t="str">
        <f>'Planilha Orçamentária'!D140</f>
        <v>INSTALAÇÕES ELÉTRICAS</v>
      </c>
      <c r="C26" s="481">
        <f t="shared" si="2"/>
        <v>0.1118108840217997</v>
      </c>
      <c r="D26" s="502">
        <f>'Planilha Orçamentária'!H177</f>
        <v>30700.450000000004</v>
      </c>
    </row>
    <row r="27" spans="1:4" ht="15" customHeight="1" x14ac:dyDescent="0.2">
      <c r="A27" s="499"/>
      <c r="B27" s="501"/>
      <c r="C27" s="482"/>
      <c r="D27" s="503"/>
    </row>
    <row r="28" spans="1:4" ht="15" customHeight="1" x14ac:dyDescent="0.2">
      <c r="A28" s="498">
        <v>11</v>
      </c>
      <c r="B28" s="500" t="str">
        <f>'Planilha Orçamentária'!D179</f>
        <v>PINTURA</v>
      </c>
      <c r="C28" s="481">
        <f t="shared" si="2"/>
        <v>2.109163044429534E-2</v>
      </c>
      <c r="D28" s="502">
        <f>'Planilha Orçamentária'!H184</f>
        <v>5791.23</v>
      </c>
    </row>
    <row r="29" spans="1:4" ht="15" customHeight="1" x14ac:dyDescent="0.2">
      <c r="A29" s="499"/>
      <c r="B29" s="501"/>
      <c r="C29" s="482"/>
      <c r="D29" s="503"/>
    </row>
    <row r="30" spans="1:4" ht="15" customHeight="1" x14ac:dyDescent="0.2">
      <c r="A30" s="498">
        <v>12</v>
      </c>
      <c r="B30" s="500" t="str">
        <f>'Planilha Orçamentária'!D186</f>
        <v>SERVIÇOS COMPLEMENTARES</v>
      </c>
      <c r="C30" s="481">
        <f t="shared" si="2"/>
        <v>3.8445772825684392E-2</v>
      </c>
      <c r="D30" s="502">
        <f>'Planilha Orçamentária'!H195</f>
        <v>10556.239999999998</v>
      </c>
    </row>
    <row r="31" spans="1:4" ht="12.75" x14ac:dyDescent="0.2">
      <c r="A31" s="499"/>
      <c r="B31" s="501"/>
      <c r="C31" s="482"/>
      <c r="D31" s="503"/>
    </row>
    <row r="32" spans="1:4" ht="20.100000000000001" customHeight="1" x14ac:dyDescent="0.2">
      <c r="A32" s="475" t="s">
        <v>19</v>
      </c>
      <c r="B32" s="392" t="s">
        <v>27</v>
      </c>
      <c r="C32" s="476">
        <f>SUM(D8:D31)</f>
        <v>274574.78999999998</v>
      </c>
      <c r="D32" s="476"/>
    </row>
    <row r="33" spans="1:7" ht="20.100000000000001" customHeight="1" x14ac:dyDescent="0.2">
      <c r="A33" s="475"/>
      <c r="B33" s="392" t="s">
        <v>21</v>
      </c>
      <c r="C33" s="477">
        <v>219.43</v>
      </c>
      <c r="D33" s="477"/>
      <c r="G33" s="49"/>
    </row>
    <row r="34" spans="1:7" ht="20.100000000000001" customHeight="1" x14ac:dyDescent="0.2">
      <c r="A34" s="475"/>
      <c r="B34" s="392" t="s">
        <v>22</v>
      </c>
      <c r="C34" s="478">
        <f>C32/C33</f>
        <v>1251.3092557991158</v>
      </c>
      <c r="D34" s="478"/>
      <c r="G34" s="49"/>
    </row>
    <row r="35" spans="1:7" ht="15" customHeight="1" x14ac:dyDescent="0.2">
      <c r="A35" s="65"/>
      <c r="B35" s="48"/>
      <c r="C35" s="48"/>
      <c r="D35" s="66"/>
      <c r="G35" s="61"/>
    </row>
    <row r="36" spans="1:7" ht="15" customHeight="1" x14ac:dyDescent="0.2">
      <c r="A36" s="65"/>
      <c r="B36" s="48"/>
      <c r="C36" s="48"/>
      <c r="D36" s="66"/>
      <c r="G36" s="61"/>
    </row>
    <row r="37" spans="1:7" ht="15" customHeight="1" x14ac:dyDescent="0.2">
      <c r="A37" s="507" t="s">
        <v>37</v>
      </c>
      <c r="B37" s="508"/>
      <c r="C37" s="508"/>
      <c r="D37" s="509"/>
      <c r="G37" s="49"/>
    </row>
    <row r="38" spans="1:7" ht="15" customHeight="1" x14ac:dyDescent="0.2">
      <c r="A38" s="507" t="s">
        <v>40</v>
      </c>
      <c r="B38" s="508"/>
      <c r="C38" s="508"/>
      <c r="D38" s="509"/>
      <c r="G38" s="48"/>
    </row>
    <row r="39" spans="1:7" ht="15" customHeight="1" x14ac:dyDescent="0.2">
      <c r="A39" s="507"/>
      <c r="B39" s="508"/>
      <c r="C39" s="508"/>
      <c r="D39" s="509"/>
    </row>
    <row r="40" spans="1:7" ht="15" customHeight="1" x14ac:dyDescent="0.2">
      <c r="A40" s="507"/>
      <c r="B40" s="508"/>
      <c r="C40" s="508"/>
      <c r="D40" s="509"/>
    </row>
    <row r="41" spans="1:7" ht="15" customHeight="1" x14ac:dyDescent="0.2">
      <c r="A41" s="507" t="s">
        <v>38</v>
      </c>
      <c r="B41" s="508"/>
      <c r="C41" s="508"/>
      <c r="D41" s="509"/>
    </row>
    <row r="42" spans="1:7" ht="15" customHeight="1" x14ac:dyDescent="0.2">
      <c r="A42" s="504" t="s">
        <v>33</v>
      </c>
      <c r="B42" s="505"/>
      <c r="C42" s="505"/>
      <c r="D42" s="506"/>
    </row>
    <row r="43" spans="1:7" ht="15" customHeight="1" x14ac:dyDescent="0.2">
      <c r="A43" s="69"/>
      <c r="B43" s="472"/>
      <c r="C43" s="70"/>
      <c r="D43" s="71"/>
    </row>
    <row r="44" spans="1:7" ht="15" customHeight="1" x14ac:dyDescent="0.2">
      <c r="A44" s="67"/>
      <c r="B44" s="61"/>
      <c r="C44" s="61"/>
      <c r="D44" s="68"/>
    </row>
    <row r="45" spans="1:7" ht="15" customHeight="1" x14ac:dyDescent="0.2">
      <c r="A45" s="69"/>
      <c r="B45" s="70"/>
      <c r="C45" s="70"/>
      <c r="D45" s="71"/>
    </row>
  </sheetData>
  <mergeCells count="66">
    <mergeCell ref="A42:D42"/>
    <mergeCell ref="A37:D37"/>
    <mergeCell ref="A38:D38"/>
    <mergeCell ref="A39:D39"/>
    <mergeCell ref="A40:D40"/>
    <mergeCell ref="A41:D41"/>
    <mergeCell ref="D28:D29"/>
    <mergeCell ref="D30:D31"/>
    <mergeCell ref="A28:A29"/>
    <mergeCell ref="A30:A31"/>
    <mergeCell ref="B28:B29"/>
    <mergeCell ref="C28:C29"/>
    <mergeCell ref="B30:B31"/>
    <mergeCell ref="C30:C31"/>
    <mergeCell ref="C26:C27"/>
    <mergeCell ref="D16:D17"/>
    <mergeCell ref="D18:D19"/>
    <mergeCell ref="D20:D21"/>
    <mergeCell ref="D22:D23"/>
    <mergeCell ref="D24:D25"/>
    <mergeCell ref="D26:D27"/>
    <mergeCell ref="C16:C17"/>
    <mergeCell ref="C18:C19"/>
    <mergeCell ref="C20:C21"/>
    <mergeCell ref="C22:C23"/>
    <mergeCell ref="C24:C25"/>
    <mergeCell ref="A24:A25"/>
    <mergeCell ref="A26:A27"/>
    <mergeCell ref="B16:B17"/>
    <mergeCell ref="B18:B19"/>
    <mergeCell ref="B20:B21"/>
    <mergeCell ref="B22:B23"/>
    <mergeCell ref="B24:B25"/>
    <mergeCell ref="B26:B27"/>
    <mergeCell ref="A1:D1"/>
    <mergeCell ref="A2:B2"/>
    <mergeCell ref="A3:B3"/>
    <mergeCell ref="A4:A5"/>
    <mergeCell ref="A6:A7"/>
    <mergeCell ref="B6:B7"/>
    <mergeCell ref="C6:C7"/>
    <mergeCell ref="D6:D7"/>
    <mergeCell ref="A8:A9"/>
    <mergeCell ref="B8:B9"/>
    <mergeCell ref="C8:C9"/>
    <mergeCell ref="D8:D9"/>
    <mergeCell ref="A10:A11"/>
    <mergeCell ref="B10:B11"/>
    <mergeCell ref="C10:C11"/>
    <mergeCell ref="D10:D11"/>
    <mergeCell ref="A32:A34"/>
    <mergeCell ref="C32:D32"/>
    <mergeCell ref="C33:D33"/>
    <mergeCell ref="C34:D34"/>
    <mergeCell ref="A12:A13"/>
    <mergeCell ref="B12:B13"/>
    <mergeCell ref="C12:C13"/>
    <mergeCell ref="D12:D13"/>
    <mergeCell ref="A14:A15"/>
    <mergeCell ref="B14:B15"/>
    <mergeCell ref="C14:C15"/>
    <mergeCell ref="D14:D15"/>
    <mergeCell ref="A16:A17"/>
    <mergeCell ref="A18:A19"/>
    <mergeCell ref="A20:A21"/>
    <mergeCell ref="A22:A23"/>
  </mergeCells>
  <printOptions horizontalCentered="1"/>
  <pageMargins left="0.59055118110236227" right="0.59055118110236227" top="0.98425196850393704" bottom="0.59055118110236227" header="0" footer="0"/>
  <pageSetup paperSize="9" scale="75" fitToWidth="0" fitToHeight="0" orientation="landscape"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6"/>
  <sheetViews>
    <sheetView showWhiteSpace="0" view="pageBreakPreview" zoomScale="130" zoomScaleNormal="100" zoomScaleSheetLayoutView="130" workbookViewId="0">
      <selection activeCell="A2" sqref="A2:D2"/>
    </sheetView>
  </sheetViews>
  <sheetFormatPr defaultColWidth="10.7109375" defaultRowHeight="15" customHeight="1" x14ac:dyDescent="0.2"/>
  <cols>
    <col min="1" max="1" width="8.7109375" style="3" customWidth="1"/>
    <col min="2" max="3" width="10.85546875" style="3" customWidth="1"/>
    <col min="4" max="4" width="101.5703125" style="5" customWidth="1"/>
    <col min="5" max="5" width="9.140625" style="3" customWidth="1"/>
    <col min="6" max="6" width="14.140625" style="3" bestFit="1" customWidth="1"/>
    <col min="7" max="7" width="15.28515625" style="30" bestFit="1" customWidth="1"/>
    <col min="8" max="8" width="20.28515625" style="6" customWidth="1"/>
    <col min="9" max="9" width="14.7109375" style="3" customWidth="1"/>
    <col min="10" max="16384" width="10.7109375" style="3"/>
  </cols>
  <sheetData>
    <row r="1" spans="1:10" s="1" customFormat="1" ht="15" customHeight="1" x14ac:dyDescent="0.2">
      <c r="A1" s="517" t="s">
        <v>18</v>
      </c>
      <c r="B1" s="517"/>
      <c r="C1" s="517"/>
      <c r="D1" s="517"/>
      <c r="E1" s="517"/>
      <c r="F1" s="517"/>
      <c r="G1" s="516" t="s">
        <v>874</v>
      </c>
      <c r="H1" s="516"/>
    </row>
    <row r="2" spans="1:10" s="1" customFormat="1" ht="15" customHeight="1" x14ac:dyDescent="0.2">
      <c r="A2" s="521" t="s">
        <v>806</v>
      </c>
      <c r="B2" s="521"/>
      <c r="C2" s="521"/>
      <c r="D2" s="521"/>
      <c r="E2" s="9"/>
      <c r="F2" s="8"/>
      <c r="G2" s="28"/>
      <c r="H2" s="27"/>
    </row>
    <row r="3" spans="1:10" s="1" customFormat="1" ht="15" customHeight="1" x14ac:dyDescent="0.2">
      <c r="A3" s="521" t="s">
        <v>859</v>
      </c>
      <c r="B3" s="521"/>
      <c r="C3" s="521"/>
      <c r="D3" s="521"/>
      <c r="E3" s="516" t="s">
        <v>630</v>
      </c>
      <c r="F3" s="516"/>
      <c r="G3" s="525" t="s">
        <v>379</v>
      </c>
      <c r="H3" s="525"/>
    </row>
    <row r="4" spans="1:10" s="1" customFormat="1" ht="15" customHeight="1" x14ac:dyDescent="0.2">
      <c r="A4" s="518" t="s">
        <v>34</v>
      </c>
      <c r="B4" s="518"/>
      <c r="C4" s="522" t="s">
        <v>41</v>
      </c>
      <c r="D4" s="522"/>
      <c r="E4" s="520" t="s">
        <v>148</v>
      </c>
      <c r="F4" s="520"/>
      <c r="G4" s="526" t="s">
        <v>380</v>
      </c>
      <c r="H4" s="526"/>
    </row>
    <row r="5" spans="1:10" s="1" customFormat="1" ht="15" customHeight="1" x14ac:dyDescent="0.2">
      <c r="A5" s="519"/>
      <c r="B5" s="519"/>
      <c r="C5" s="523" t="s">
        <v>35</v>
      </c>
      <c r="D5" s="523"/>
      <c r="E5" s="524" t="s">
        <v>149</v>
      </c>
      <c r="F5" s="524"/>
      <c r="G5" s="524"/>
      <c r="H5" s="33"/>
      <c r="I5" s="32"/>
      <c r="J5" s="32"/>
    </row>
    <row r="6" spans="1:10" s="2" customFormat="1" ht="15" customHeight="1" x14ac:dyDescent="0.2">
      <c r="A6" s="528" t="s">
        <v>0</v>
      </c>
      <c r="B6" s="528" t="s">
        <v>1</v>
      </c>
      <c r="C6" s="528" t="s">
        <v>2</v>
      </c>
      <c r="D6" s="529" t="s">
        <v>3</v>
      </c>
      <c r="E6" s="530" t="s">
        <v>29</v>
      </c>
      <c r="F6" s="530" t="s">
        <v>9</v>
      </c>
      <c r="G6" s="528" t="s">
        <v>31</v>
      </c>
      <c r="H6" s="528"/>
    </row>
    <row r="7" spans="1:10" s="2" customFormat="1" ht="15" customHeight="1" x14ac:dyDescent="0.2">
      <c r="A7" s="528"/>
      <c r="B7" s="528"/>
      <c r="C7" s="528"/>
      <c r="D7" s="529"/>
      <c r="E7" s="530"/>
      <c r="F7" s="530"/>
      <c r="G7" s="29" t="s">
        <v>30</v>
      </c>
      <c r="H7" s="7" t="s">
        <v>8</v>
      </c>
    </row>
    <row r="8" spans="1:10" s="2" customFormat="1" ht="15" customHeight="1" x14ac:dyDescent="0.2">
      <c r="A8" s="209" t="s">
        <v>321</v>
      </c>
      <c r="B8" s="510"/>
      <c r="C8" s="512"/>
      <c r="D8" s="166" t="s">
        <v>294</v>
      </c>
      <c r="E8" s="510"/>
      <c r="F8" s="511"/>
      <c r="G8" s="511"/>
      <c r="H8" s="511"/>
      <c r="I8" s="82"/>
    </row>
    <row r="9" spans="1:10" s="102" customFormat="1" ht="15" customHeight="1" x14ac:dyDescent="0.2">
      <c r="A9" s="257" t="s">
        <v>322</v>
      </c>
      <c r="B9" s="257" t="s">
        <v>295</v>
      </c>
      <c r="C9" s="93" t="s">
        <v>43</v>
      </c>
      <c r="D9" s="228" t="s">
        <v>296</v>
      </c>
      <c r="E9" s="93" t="s">
        <v>6</v>
      </c>
      <c r="F9" s="254">
        <v>8</v>
      </c>
      <c r="G9" s="255">
        <v>219.55</v>
      </c>
      <c r="H9" s="277">
        <f>TRUNC(G9*F9,2)</f>
        <v>1756.4</v>
      </c>
      <c r="I9" s="82"/>
      <c r="J9" s="256"/>
    </row>
    <row r="10" spans="1:10" s="102" customFormat="1" ht="25.5" customHeight="1" x14ac:dyDescent="0.2">
      <c r="A10" s="257" t="s">
        <v>323</v>
      </c>
      <c r="B10" s="368" t="s">
        <v>631</v>
      </c>
      <c r="C10" s="93" t="s">
        <v>43</v>
      </c>
      <c r="D10" s="228" t="s">
        <v>624</v>
      </c>
      <c r="E10" s="93" t="s">
        <v>625</v>
      </c>
      <c r="F10" s="254">
        <v>6</v>
      </c>
      <c r="G10" s="255">
        <v>568.4</v>
      </c>
      <c r="H10" s="277">
        <f>TRUNC(G10*F10,2)</f>
        <v>3410.4</v>
      </c>
      <c r="I10" s="82"/>
      <c r="J10" s="256"/>
    </row>
    <row r="11" spans="1:10" s="102" customFormat="1" ht="15" customHeight="1" x14ac:dyDescent="0.2">
      <c r="A11" s="257" t="s">
        <v>324</v>
      </c>
      <c r="B11" s="93" t="s">
        <v>632</v>
      </c>
      <c r="C11" s="93" t="s">
        <v>89</v>
      </c>
      <c r="D11" s="228" t="s">
        <v>297</v>
      </c>
      <c r="E11" s="93" t="s">
        <v>6</v>
      </c>
      <c r="F11" s="254">
        <v>219.42</v>
      </c>
      <c r="G11" s="255">
        <v>1.43</v>
      </c>
      <c r="H11" s="277">
        <f t="shared" ref="H11:H13" si="0">TRUNC(G11*F11,2)</f>
        <v>313.77</v>
      </c>
      <c r="I11" s="82"/>
      <c r="J11" s="256"/>
    </row>
    <row r="12" spans="1:10" s="102" customFormat="1" ht="12.75" x14ac:dyDescent="0.2">
      <c r="A12" s="257" t="s">
        <v>325</v>
      </c>
      <c r="B12" s="267">
        <v>79472</v>
      </c>
      <c r="C12" s="267" t="s">
        <v>89</v>
      </c>
      <c r="D12" s="228" t="s">
        <v>319</v>
      </c>
      <c r="E12" s="267" t="s">
        <v>6</v>
      </c>
      <c r="F12" s="254">
        <v>219.42</v>
      </c>
      <c r="G12" s="255">
        <v>0.56999999999999995</v>
      </c>
      <c r="H12" s="277">
        <f t="shared" si="0"/>
        <v>125.06</v>
      </c>
      <c r="I12" s="82"/>
      <c r="J12" s="256"/>
    </row>
    <row r="13" spans="1:10" s="102" customFormat="1" ht="15" customHeight="1" x14ac:dyDescent="0.2">
      <c r="A13" s="257" t="s">
        <v>326</v>
      </c>
      <c r="B13" s="257" t="s">
        <v>298</v>
      </c>
      <c r="C13" s="93" t="s">
        <v>43</v>
      </c>
      <c r="D13" s="228" t="s">
        <v>299</v>
      </c>
      <c r="E13" s="93" t="s">
        <v>6</v>
      </c>
      <c r="F13" s="254">
        <v>206.02</v>
      </c>
      <c r="G13" s="255">
        <v>7.3</v>
      </c>
      <c r="H13" s="277">
        <f t="shared" si="0"/>
        <v>1503.94</v>
      </c>
      <c r="I13" s="82"/>
      <c r="J13" s="256"/>
    </row>
    <row r="14" spans="1:10" s="102" customFormat="1" ht="15" customHeight="1" x14ac:dyDescent="0.2">
      <c r="A14" s="258"/>
      <c r="B14" s="258"/>
      <c r="C14" s="259"/>
      <c r="D14" s="261" t="s">
        <v>183</v>
      </c>
      <c r="E14" s="259"/>
      <c r="F14" s="259"/>
      <c r="G14" s="260"/>
      <c r="H14" s="280">
        <f>SUM(H9:H13)</f>
        <v>7109.57</v>
      </c>
      <c r="I14" s="82"/>
      <c r="J14" s="256"/>
    </row>
    <row r="15" spans="1:10" s="102" customFormat="1" ht="15" customHeight="1" x14ac:dyDescent="0.2">
      <c r="A15" s="556"/>
      <c r="B15" s="557"/>
      <c r="C15" s="557"/>
      <c r="D15" s="557"/>
      <c r="E15" s="557"/>
      <c r="F15" s="557"/>
      <c r="G15" s="557"/>
      <c r="H15" s="557"/>
      <c r="I15" s="82"/>
      <c r="J15" s="256"/>
    </row>
    <row r="16" spans="1:10" s="102" customFormat="1" ht="15" customHeight="1" x14ac:dyDescent="0.2">
      <c r="A16" s="209" t="s">
        <v>327</v>
      </c>
      <c r="B16" s="510"/>
      <c r="C16" s="512"/>
      <c r="D16" s="166" t="s">
        <v>626</v>
      </c>
      <c r="E16" s="510"/>
      <c r="F16" s="511"/>
      <c r="G16" s="511"/>
      <c r="H16" s="511"/>
      <c r="I16" s="82"/>
      <c r="J16" s="256"/>
    </row>
    <row r="17" spans="1:10" s="102" customFormat="1" ht="15" customHeight="1" x14ac:dyDescent="0.2">
      <c r="A17" s="258" t="s">
        <v>328</v>
      </c>
      <c r="B17" s="537"/>
      <c r="C17" s="538"/>
      <c r="D17" s="261" t="s">
        <v>300</v>
      </c>
      <c r="E17" s="273"/>
      <c r="F17" s="274"/>
      <c r="G17" s="274"/>
      <c r="H17" s="274"/>
      <c r="I17" s="82"/>
      <c r="J17" s="256"/>
    </row>
    <row r="18" spans="1:10" s="102" customFormat="1" ht="15" customHeight="1" x14ac:dyDescent="0.2">
      <c r="A18" s="257" t="s">
        <v>329</v>
      </c>
      <c r="B18" s="257" t="s">
        <v>301</v>
      </c>
      <c r="C18" s="93" t="s">
        <v>43</v>
      </c>
      <c r="D18" s="228" t="s">
        <v>302</v>
      </c>
      <c r="E18" s="93" t="s">
        <v>303</v>
      </c>
      <c r="F18" s="254">
        <v>45.66</v>
      </c>
      <c r="G18" s="255">
        <v>46.31</v>
      </c>
      <c r="H18" s="277">
        <f>TRUNC(G18*F18,2)</f>
        <v>2114.5100000000002</v>
      </c>
      <c r="I18" s="82"/>
      <c r="J18" s="256"/>
    </row>
    <row r="19" spans="1:10" s="102" customFormat="1" ht="15" customHeight="1" x14ac:dyDescent="0.2">
      <c r="A19" s="257" t="s">
        <v>330</v>
      </c>
      <c r="B19" s="93">
        <v>96619</v>
      </c>
      <c r="C19" s="93" t="s">
        <v>89</v>
      </c>
      <c r="D19" s="228" t="s">
        <v>627</v>
      </c>
      <c r="E19" s="93" t="s">
        <v>6</v>
      </c>
      <c r="F19" s="254">
        <v>25.14</v>
      </c>
      <c r="G19" s="255">
        <v>24.11</v>
      </c>
      <c r="H19" s="277">
        <f>TRUNC(G19*F19,2)</f>
        <v>606.12</v>
      </c>
      <c r="I19" s="82"/>
      <c r="J19" s="256"/>
    </row>
    <row r="20" spans="1:10" s="102" customFormat="1" ht="15" customHeight="1" x14ac:dyDescent="0.2">
      <c r="A20" s="257" t="s">
        <v>331</v>
      </c>
      <c r="B20" s="257" t="s">
        <v>304</v>
      </c>
      <c r="C20" s="93" t="s">
        <v>43</v>
      </c>
      <c r="D20" s="228" t="s">
        <v>305</v>
      </c>
      <c r="E20" s="93" t="s">
        <v>231</v>
      </c>
      <c r="F20" s="254">
        <v>113.27</v>
      </c>
      <c r="G20" s="255">
        <v>8.4499999999999993</v>
      </c>
      <c r="H20" s="277">
        <f>TRUNC(G20*F20,2)</f>
        <v>957.13</v>
      </c>
      <c r="I20" s="82"/>
      <c r="J20" s="256"/>
    </row>
    <row r="21" spans="1:10" s="102" customFormat="1" ht="15" customHeight="1" x14ac:dyDescent="0.2">
      <c r="A21" s="257" t="s">
        <v>332</v>
      </c>
      <c r="B21" s="257" t="s">
        <v>306</v>
      </c>
      <c r="C21" s="93" t="s">
        <v>43</v>
      </c>
      <c r="D21" s="228" t="s">
        <v>307</v>
      </c>
      <c r="E21" s="93" t="s">
        <v>303</v>
      </c>
      <c r="F21" s="254">
        <v>5.46</v>
      </c>
      <c r="G21" s="255">
        <v>634.23</v>
      </c>
      <c r="H21" s="277">
        <f>TRUNC(G21*F21,2)</f>
        <v>3462.89</v>
      </c>
      <c r="I21" s="82"/>
      <c r="J21" s="256"/>
    </row>
    <row r="22" spans="1:10" s="102" customFormat="1" ht="15" customHeight="1" x14ac:dyDescent="0.2">
      <c r="A22" s="257" t="s">
        <v>333</v>
      </c>
      <c r="B22" s="93">
        <v>96995</v>
      </c>
      <c r="C22" s="93" t="s">
        <v>89</v>
      </c>
      <c r="D22" s="228" t="s">
        <v>308</v>
      </c>
      <c r="E22" s="93" t="s">
        <v>303</v>
      </c>
      <c r="F22" s="254">
        <v>35.630000000000003</v>
      </c>
      <c r="G22" s="255">
        <v>43.05</v>
      </c>
      <c r="H22" s="277">
        <f>TRUNC(G22*F22,2)</f>
        <v>1533.87</v>
      </c>
      <c r="I22" s="82"/>
      <c r="J22" s="256"/>
    </row>
    <row r="23" spans="1:10" s="102" customFormat="1" ht="15" customHeight="1" x14ac:dyDescent="0.2">
      <c r="A23" s="259" t="s">
        <v>338</v>
      </c>
      <c r="B23" s="554"/>
      <c r="C23" s="555"/>
      <c r="D23" s="261" t="s">
        <v>357</v>
      </c>
      <c r="E23" s="275"/>
      <c r="F23" s="276"/>
      <c r="G23" s="276"/>
      <c r="H23" s="276"/>
      <c r="I23" s="82"/>
      <c r="J23" s="256"/>
    </row>
    <row r="24" spans="1:10" s="102" customFormat="1" ht="25.5" x14ac:dyDescent="0.2">
      <c r="A24" s="93" t="s">
        <v>334</v>
      </c>
      <c r="B24" s="267">
        <v>40238</v>
      </c>
      <c r="C24" s="93" t="s">
        <v>43</v>
      </c>
      <c r="D24" s="228" t="s">
        <v>310</v>
      </c>
      <c r="E24" s="93" t="s">
        <v>6</v>
      </c>
      <c r="F24" s="254">
        <v>35.1</v>
      </c>
      <c r="G24" s="255">
        <v>72.02</v>
      </c>
      <c r="H24" s="277">
        <f t="shared" ref="H24:H30" si="1">TRUNC(G24*F24,2)</f>
        <v>2527.9</v>
      </c>
      <c r="I24" s="82"/>
      <c r="J24" s="256"/>
    </row>
    <row r="25" spans="1:10" s="102" customFormat="1" ht="15" customHeight="1" x14ac:dyDescent="0.2">
      <c r="A25" s="267" t="s">
        <v>335</v>
      </c>
      <c r="B25" s="267">
        <v>40332</v>
      </c>
      <c r="C25" s="93" t="s">
        <v>43</v>
      </c>
      <c r="D25" s="228" t="s">
        <v>320</v>
      </c>
      <c r="E25" s="93" t="s">
        <v>231</v>
      </c>
      <c r="F25" s="254">
        <v>364.11</v>
      </c>
      <c r="G25" s="255">
        <v>8.7899999999999991</v>
      </c>
      <c r="H25" s="277">
        <f t="shared" si="1"/>
        <v>3200.52</v>
      </c>
      <c r="I25" s="82"/>
      <c r="J25" s="256"/>
    </row>
    <row r="26" spans="1:10" s="102" customFormat="1" ht="15" customHeight="1" x14ac:dyDescent="0.2">
      <c r="A26" s="267" t="s">
        <v>336</v>
      </c>
      <c r="B26" s="267">
        <v>40328</v>
      </c>
      <c r="C26" s="93" t="s">
        <v>43</v>
      </c>
      <c r="D26" s="228" t="s">
        <v>305</v>
      </c>
      <c r="E26" s="93" t="s">
        <v>231</v>
      </c>
      <c r="F26" s="254">
        <v>72.290000000000006</v>
      </c>
      <c r="G26" s="255">
        <v>8.4499999999999993</v>
      </c>
      <c r="H26" s="277">
        <f t="shared" si="1"/>
        <v>610.85</v>
      </c>
      <c r="I26" s="82"/>
      <c r="J26" s="256"/>
    </row>
    <row r="27" spans="1:10" s="102" customFormat="1" ht="15" customHeight="1" x14ac:dyDescent="0.2">
      <c r="A27" s="267" t="s">
        <v>337</v>
      </c>
      <c r="B27" s="257" t="s">
        <v>306</v>
      </c>
      <c r="C27" s="267" t="s">
        <v>43</v>
      </c>
      <c r="D27" s="228" t="s">
        <v>307</v>
      </c>
      <c r="E27" s="93" t="s">
        <v>303</v>
      </c>
      <c r="F27" s="254">
        <v>0</v>
      </c>
      <c r="G27" s="255">
        <v>634.23</v>
      </c>
      <c r="H27" s="277">
        <f t="shared" si="1"/>
        <v>0</v>
      </c>
      <c r="I27" s="82"/>
      <c r="J27" s="256"/>
    </row>
    <row r="28" spans="1:10" s="102" customFormat="1" ht="15" customHeight="1" x14ac:dyDescent="0.2">
      <c r="A28" s="259" t="s">
        <v>339</v>
      </c>
      <c r="B28" s="554"/>
      <c r="C28" s="555"/>
      <c r="D28" s="261" t="s">
        <v>511</v>
      </c>
      <c r="E28" s="278"/>
      <c r="F28" s="279"/>
      <c r="G28" s="279"/>
      <c r="H28" s="279"/>
      <c r="I28" s="82"/>
      <c r="J28" s="256"/>
    </row>
    <row r="29" spans="1:10" s="102" customFormat="1" ht="15" customHeight="1" x14ac:dyDescent="0.2">
      <c r="A29" s="257" t="s">
        <v>340</v>
      </c>
      <c r="B29" s="257" t="s">
        <v>301</v>
      </c>
      <c r="C29" s="267" t="s">
        <v>43</v>
      </c>
      <c r="D29" s="228" t="s">
        <v>302</v>
      </c>
      <c r="E29" s="267" t="s">
        <v>303</v>
      </c>
      <c r="F29" s="254">
        <v>5.62</v>
      </c>
      <c r="G29" s="255">
        <v>46.31</v>
      </c>
      <c r="H29" s="277">
        <f>TRUNC(G29*F29,2)</f>
        <v>260.26</v>
      </c>
      <c r="I29" s="82"/>
      <c r="J29" s="256"/>
    </row>
    <row r="30" spans="1:10" s="102" customFormat="1" ht="25.5" x14ac:dyDescent="0.2">
      <c r="A30" s="257" t="s">
        <v>341</v>
      </c>
      <c r="B30" s="267">
        <v>40238</v>
      </c>
      <c r="C30" s="267" t="s">
        <v>43</v>
      </c>
      <c r="D30" s="228" t="s">
        <v>310</v>
      </c>
      <c r="E30" s="267" t="s">
        <v>6</v>
      </c>
      <c r="F30" s="254">
        <v>56.61</v>
      </c>
      <c r="G30" s="255">
        <v>72.02</v>
      </c>
      <c r="H30" s="277">
        <f t="shared" si="1"/>
        <v>4077.05</v>
      </c>
      <c r="I30" s="82"/>
      <c r="J30" s="256"/>
    </row>
    <row r="31" spans="1:10" s="102" customFormat="1" ht="12.75" x14ac:dyDescent="0.2">
      <c r="A31" s="257" t="s">
        <v>342</v>
      </c>
      <c r="B31" s="292">
        <v>40246</v>
      </c>
      <c r="C31" s="292" t="s">
        <v>43</v>
      </c>
      <c r="D31" s="228" t="s">
        <v>352</v>
      </c>
      <c r="E31" s="292" t="s">
        <v>231</v>
      </c>
      <c r="F31" s="254">
        <v>77.36</v>
      </c>
      <c r="G31" s="255">
        <v>8.4</v>
      </c>
      <c r="H31" s="277">
        <f t="shared" ref="H31:H33" si="2">TRUNC(G31*F31,2)</f>
        <v>649.82000000000005</v>
      </c>
      <c r="I31" s="82"/>
      <c r="J31" s="256"/>
    </row>
    <row r="32" spans="1:10" s="102" customFormat="1" ht="12.75" x14ac:dyDescent="0.2">
      <c r="A32" s="257" t="s">
        <v>343</v>
      </c>
      <c r="B32" s="267">
        <v>40328</v>
      </c>
      <c r="C32" s="267" t="s">
        <v>43</v>
      </c>
      <c r="D32" s="228" t="s">
        <v>305</v>
      </c>
      <c r="E32" s="267" t="s">
        <v>231</v>
      </c>
      <c r="F32" s="254">
        <v>339.5</v>
      </c>
      <c r="G32" s="255">
        <v>8.4499999999999993</v>
      </c>
      <c r="H32" s="277">
        <f t="shared" si="2"/>
        <v>2868.77</v>
      </c>
      <c r="I32" s="82"/>
      <c r="J32" s="256"/>
    </row>
    <row r="33" spans="1:10" s="102" customFormat="1" ht="12.75" x14ac:dyDescent="0.2">
      <c r="A33" s="257" t="s">
        <v>344</v>
      </c>
      <c r="B33" s="257" t="s">
        <v>306</v>
      </c>
      <c r="C33" s="267" t="s">
        <v>43</v>
      </c>
      <c r="D33" s="228" t="s">
        <v>307</v>
      </c>
      <c r="E33" s="267" t="s">
        <v>303</v>
      </c>
      <c r="F33" s="254">
        <v>4.2</v>
      </c>
      <c r="G33" s="255">
        <v>634.23</v>
      </c>
      <c r="H33" s="277">
        <f t="shared" si="2"/>
        <v>2663.76</v>
      </c>
      <c r="I33" s="82"/>
      <c r="J33" s="256"/>
    </row>
    <row r="34" spans="1:10" s="102" customFormat="1" ht="12.75" x14ac:dyDescent="0.2">
      <c r="A34" s="259" t="s">
        <v>345</v>
      </c>
      <c r="B34" s="537"/>
      <c r="C34" s="538"/>
      <c r="D34" s="261" t="s">
        <v>346</v>
      </c>
      <c r="E34" s="273"/>
      <c r="F34" s="274"/>
      <c r="G34" s="274"/>
      <c r="H34" s="274"/>
      <c r="I34" s="82"/>
      <c r="J34" s="256"/>
    </row>
    <row r="35" spans="1:10" s="102" customFormat="1" ht="25.5" x14ac:dyDescent="0.2">
      <c r="A35" s="257" t="s">
        <v>347</v>
      </c>
      <c r="B35" s="267">
        <v>40238</v>
      </c>
      <c r="C35" s="267" t="s">
        <v>43</v>
      </c>
      <c r="D35" s="228" t="s">
        <v>310</v>
      </c>
      <c r="E35" s="267" t="s">
        <v>6</v>
      </c>
      <c r="F35" s="254">
        <v>89.4</v>
      </c>
      <c r="G35" s="255">
        <v>72.02</v>
      </c>
      <c r="H35" s="277">
        <f t="shared" ref="H35:H38" si="3">TRUNC(G35*F35,2)</f>
        <v>6438.58</v>
      </c>
      <c r="I35" s="82"/>
      <c r="J35" s="256"/>
    </row>
    <row r="36" spans="1:10" s="102" customFormat="1" ht="12.75" x14ac:dyDescent="0.2">
      <c r="A36" s="257" t="s">
        <v>348</v>
      </c>
      <c r="B36" s="267">
        <v>40332</v>
      </c>
      <c r="C36" s="267" t="s">
        <v>43</v>
      </c>
      <c r="D36" s="228" t="s">
        <v>320</v>
      </c>
      <c r="E36" s="267" t="s">
        <v>231</v>
      </c>
      <c r="F36" s="254">
        <v>406.7</v>
      </c>
      <c r="G36" s="255">
        <v>8.7899999999999991</v>
      </c>
      <c r="H36" s="277">
        <f t="shared" si="3"/>
        <v>3574.89</v>
      </c>
      <c r="I36" s="82"/>
      <c r="J36" s="256"/>
    </row>
    <row r="37" spans="1:10" s="102" customFormat="1" ht="12.75" x14ac:dyDescent="0.2">
      <c r="A37" s="257" t="s">
        <v>349</v>
      </c>
      <c r="B37" s="267">
        <v>40328</v>
      </c>
      <c r="C37" s="267" t="s">
        <v>43</v>
      </c>
      <c r="D37" s="228" t="s">
        <v>305</v>
      </c>
      <c r="E37" s="267" t="s">
        <v>231</v>
      </c>
      <c r="F37" s="254">
        <v>148.83000000000001</v>
      </c>
      <c r="G37" s="255">
        <v>8.4499999999999993</v>
      </c>
      <c r="H37" s="277">
        <f t="shared" si="3"/>
        <v>1257.6099999999999</v>
      </c>
      <c r="I37" s="82"/>
      <c r="J37" s="256"/>
    </row>
    <row r="38" spans="1:10" s="102" customFormat="1" ht="12.75" x14ac:dyDescent="0.2">
      <c r="A38" s="257" t="s">
        <v>350</v>
      </c>
      <c r="B38" s="257" t="s">
        <v>306</v>
      </c>
      <c r="C38" s="267" t="s">
        <v>43</v>
      </c>
      <c r="D38" s="228" t="s">
        <v>307</v>
      </c>
      <c r="E38" s="267" t="s">
        <v>303</v>
      </c>
      <c r="F38" s="254">
        <v>5.63</v>
      </c>
      <c r="G38" s="255">
        <v>634.23</v>
      </c>
      <c r="H38" s="277">
        <f t="shared" si="3"/>
        <v>3570.71</v>
      </c>
      <c r="I38" s="82"/>
      <c r="J38" s="256"/>
    </row>
    <row r="39" spans="1:10" s="102" customFormat="1" ht="12.75" x14ac:dyDescent="0.2">
      <c r="A39" s="259" t="s">
        <v>351</v>
      </c>
      <c r="B39" s="537"/>
      <c r="C39" s="538"/>
      <c r="D39" s="261" t="s">
        <v>512</v>
      </c>
      <c r="E39" s="273"/>
      <c r="F39" s="274"/>
      <c r="G39" s="274"/>
      <c r="H39" s="274"/>
      <c r="I39" s="82"/>
      <c r="J39" s="256"/>
    </row>
    <row r="40" spans="1:10" s="102" customFormat="1" ht="25.5" x14ac:dyDescent="0.2">
      <c r="A40" s="257" t="s">
        <v>353</v>
      </c>
      <c r="B40" s="267">
        <v>40238</v>
      </c>
      <c r="C40" s="267" t="s">
        <v>43</v>
      </c>
      <c r="D40" s="228" t="s">
        <v>310</v>
      </c>
      <c r="E40" s="267" t="s">
        <v>6</v>
      </c>
      <c r="F40" s="254">
        <v>48.61</v>
      </c>
      <c r="G40" s="255">
        <v>72.02</v>
      </c>
      <c r="H40" s="277">
        <f t="shared" ref="H40:H43" si="4">TRUNC(G40*F40,2)</f>
        <v>3500.89</v>
      </c>
      <c r="I40" s="82"/>
      <c r="J40" s="256"/>
    </row>
    <row r="41" spans="1:10" s="102" customFormat="1" ht="12.75" x14ac:dyDescent="0.2">
      <c r="A41" s="257" t="s">
        <v>354</v>
      </c>
      <c r="B41" s="267">
        <v>40328</v>
      </c>
      <c r="C41" s="267" t="s">
        <v>43</v>
      </c>
      <c r="D41" s="228" t="s">
        <v>305</v>
      </c>
      <c r="E41" s="267" t="s">
        <v>231</v>
      </c>
      <c r="F41" s="254">
        <v>237.17</v>
      </c>
      <c r="G41" s="255">
        <v>8.4499999999999993</v>
      </c>
      <c r="H41" s="277">
        <f t="shared" si="4"/>
        <v>2004.08</v>
      </c>
      <c r="I41" s="82"/>
      <c r="J41" s="256"/>
    </row>
    <row r="42" spans="1:10" s="102" customFormat="1" ht="12.75" x14ac:dyDescent="0.2">
      <c r="A42" s="257" t="s">
        <v>355</v>
      </c>
      <c r="B42" s="267">
        <v>40246</v>
      </c>
      <c r="C42" s="267" t="s">
        <v>43</v>
      </c>
      <c r="D42" s="228" t="s">
        <v>352</v>
      </c>
      <c r="E42" s="267" t="s">
        <v>231</v>
      </c>
      <c r="F42" s="254">
        <v>53.34</v>
      </c>
      <c r="G42" s="255">
        <v>8.4</v>
      </c>
      <c r="H42" s="277">
        <f t="shared" si="4"/>
        <v>448.05</v>
      </c>
      <c r="I42" s="82"/>
      <c r="J42" s="256"/>
    </row>
    <row r="43" spans="1:10" s="102" customFormat="1" ht="12.75" x14ac:dyDescent="0.2">
      <c r="A43" s="257" t="s">
        <v>356</v>
      </c>
      <c r="B43" s="257" t="s">
        <v>306</v>
      </c>
      <c r="C43" s="267" t="s">
        <v>43</v>
      </c>
      <c r="D43" s="228" t="s">
        <v>307</v>
      </c>
      <c r="E43" s="267" t="s">
        <v>303</v>
      </c>
      <c r="F43" s="254">
        <v>2.89</v>
      </c>
      <c r="G43" s="255">
        <v>634.23</v>
      </c>
      <c r="H43" s="277">
        <f t="shared" si="4"/>
        <v>1832.92</v>
      </c>
      <c r="I43" s="82"/>
      <c r="J43" s="256"/>
    </row>
    <row r="44" spans="1:10" s="102" customFormat="1" ht="12.75" x14ac:dyDescent="0.2">
      <c r="A44" s="258" t="s">
        <v>358</v>
      </c>
      <c r="B44" s="554"/>
      <c r="C44" s="555"/>
      <c r="D44" s="261" t="s">
        <v>368</v>
      </c>
      <c r="E44" s="275"/>
      <c r="F44" s="276"/>
      <c r="G44" s="276"/>
      <c r="H44" s="276"/>
      <c r="I44" s="82"/>
      <c r="J44" s="256"/>
    </row>
    <row r="45" spans="1:10" s="102" customFormat="1" ht="12.75" x14ac:dyDescent="0.2">
      <c r="A45" s="257" t="s">
        <v>362</v>
      </c>
      <c r="B45" s="272">
        <v>73301</v>
      </c>
      <c r="C45" s="272" t="s">
        <v>89</v>
      </c>
      <c r="D45" s="227" t="s">
        <v>359</v>
      </c>
      <c r="E45" s="272" t="s">
        <v>303</v>
      </c>
      <c r="F45" s="254">
        <v>17.71</v>
      </c>
      <c r="G45" s="255">
        <v>10.65</v>
      </c>
      <c r="H45" s="255">
        <f>TRUNC(G45*F45,2)</f>
        <v>188.61</v>
      </c>
      <c r="I45" s="82"/>
      <c r="J45" s="256"/>
    </row>
    <row r="46" spans="1:10" s="102" customFormat="1" ht="12.75" x14ac:dyDescent="0.2">
      <c r="A46" s="257" t="s">
        <v>363</v>
      </c>
      <c r="B46" s="272">
        <v>40246</v>
      </c>
      <c r="C46" s="272" t="s">
        <v>43</v>
      </c>
      <c r="D46" s="228" t="s">
        <v>352</v>
      </c>
      <c r="E46" s="272" t="s">
        <v>231</v>
      </c>
      <c r="F46" s="254">
        <v>82.82</v>
      </c>
      <c r="G46" s="255">
        <v>8.4</v>
      </c>
      <c r="H46" s="255">
        <f t="shared" ref="H46:H47" si="5">TRUNC(G46*F46,2)</f>
        <v>695.68</v>
      </c>
      <c r="I46" s="82"/>
      <c r="J46" s="256"/>
    </row>
    <row r="47" spans="1:10" s="102" customFormat="1" ht="12.75" x14ac:dyDescent="0.2">
      <c r="A47" s="257" t="s">
        <v>364</v>
      </c>
      <c r="B47" s="257" t="s">
        <v>306</v>
      </c>
      <c r="C47" s="272" t="s">
        <v>43</v>
      </c>
      <c r="D47" s="228" t="s">
        <v>307</v>
      </c>
      <c r="E47" s="272" t="s">
        <v>303</v>
      </c>
      <c r="F47" s="254">
        <v>2.12</v>
      </c>
      <c r="G47" s="255">
        <v>634.23</v>
      </c>
      <c r="H47" s="255">
        <f t="shared" si="5"/>
        <v>1344.56</v>
      </c>
      <c r="I47" s="82"/>
      <c r="J47" s="256"/>
    </row>
    <row r="48" spans="1:10" s="102" customFormat="1" ht="12.75" x14ac:dyDescent="0.2">
      <c r="A48" s="258" t="s">
        <v>361</v>
      </c>
      <c r="B48" s="554"/>
      <c r="C48" s="555"/>
      <c r="D48" s="261" t="s">
        <v>360</v>
      </c>
      <c r="E48" s="275"/>
      <c r="F48" s="276"/>
      <c r="G48" s="276"/>
      <c r="H48" s="276"/>
      <c r="I48" s="82"/>
      <c r="J48" s="256"/>
    </row>
    <row r="49" spans="1:10" s="102" customFormat="1" ht="12.75" x14ac:dyDescent="0.2">
      <c r="A49" s="257" t="s">
        <v>365</v>
      </c>
      <c r="B49" s="324">
        <v>85233</v>
      </c>
      <c r="C49" s="272" t="s">
        <v>89</v>
      </c>
      <c r="D49" s="228" t="s">
        <v>544</v>
      </c>
      <c r="E49" s="272" t="s">
        <v>303</v>
      </c>
      <c r="F49" s="254">
        <v>0.3</v>
      </c>
      <c r="G49" s="255">
        <v>2787.5</v>
      </c>
      <c r="H49" s="255">
        <f>TRUNC(G49*F49,2)</f>
        <v>836.25</v>
      </c>
      <c r="I49" s="82"/>
      <c r="J49" s="256"/>
    </row>
    <row r="50" spans="1:10" s="102" customFormat="1" ht="12.75" x14ac:dyDescent="0.2">
      <c r="A50" s="258" t="s">
        <v>369</v>
      </c>
      <c r="B50" s="537"/>
      <c r="C50" s="538"/>
      <c r="D50" s="332" t="s">
        <v>367</v>
      </c>
      <c r="E50" s="273"/>
      <c r="F50" s="274"/>
      <c r="G50" s="274"/>
      <c r="H50" s="247"/>
      <c r="I50" s="82"/>
      <c r="J50" s="256"/>
    </row>
    <row r="51" spans="1:10" s="102" customFormat="1" ht="27" customHeight="1" x14ac:dyDescent="0.2">
      <c r="A51" s="257" t="s">
        <v>372</v>
      </c>
      <c r="B51" s="282">
        <v>50503</v>
      </c>
      <c r="C51" s="4" t="s">
        <v>43</v>
      </c>
      <c r="D51" s="218" t="s">
        <v>160</v>
      </c>
      <c r="E51" s="4" t="s">
        <v>6</v>
      </c>
      <c r="F51" s="35">
        <v>20.66</v>
      </c>
      <c r="G51" s="92">
        <v>68.02</v>
      </c>
      <c r="H51" s="31">
        <f>TRUNC(G51*F51,2)</f>
        <v>1405.29</v>
      </c>
      <c r="I51" s="82"/>
      <c r="J51" s="256"/>
    </row>
    <row r="52" spans="1:10" s="102" customFormat="1" ht="12.75" x14ac:dyDescent="0.2">
      <c r="A52" s="257" t="s">
        <v>373</v>
      </c>
      <c r="B52" s="283">
        <v>30204</v>
      </c>
      <c r="C52" s="272" t="s">
        <v>43</v>
      </c>
      <c r="D52" s="228" t="s">
        <v>370</v>
      </c>
      <c r="E52" s="283" t="s">
        <v>303</v>
      </c>
      <c r="F52" s="254">
        <v>12.61</v>
      </c>
      <c r="G52" s="255">
        <v>146.61000000000001</v>
      </c>
      <c r="H52" s="31">
        <f t="shared" ref="H52:H54" si="6">TRUNC(G52*F52,2)</f>
        <v>1848.75</v>
      </c>
      <c r="I52" s="82"/>
      <c r="J52" s="256"/>
    </row>
    <row r="53" spans="1:10" s="102" customFormat="1" ht="12.75" x14ac:dyDescent="0.2">
      <c r="A53" s="257" t="s">
        <v>374</v>
      </c>
      <c r="B53" s="537" t="s">
        <v>438</v>
      </c>
      <c r="C53" s="538"/>
      <c r="D53" s="228" t="s">
        <v>546</v>
      </c>
      <c r="E53" s="290" t="s">
        <v>6</v>
      </c>
      <c r="F53" s="254">
        <v>10.14</v>
      </c>
      <c r="G53" s="255">
        <v>33.94</v>
      </c>
      <c r="H53" s="31">
        <f t="shared" si="6"/>
        <v>344.15</v>
      </c>
      <c r="I53" s="82"/>
      <c r="J53" s="256"/>
    </row>
    <row r="54" spans="1:10" s="102" customFormat="1" ht="12.75" x14ac:dyDescent="0.2">
      <c r="A54" s="257" t="s">
        <v>375</v>
      </c>
      <c r="B54" s="287">
        <v>130113</v>
      </c>
      <c r="C54" s="272" t="s">
        <v>43</v>
      </c>
      <c r="D54" s="228" t="s">
        <v>371</v>
      </c>
      <c r="E54" s="287" t="s">
        <v>6</v>
      </c>
      <c r="F54" s="254">
        <v>15.14</v>
      </c>
      <c r="G54" s="255">
        <v>60.67</v>
      </c>
      <c r="H54" s="31">
        <f t="shared" si="6"/>
        <v>918.54</v>
      </c>
      <c r="I54" s="82"/>
      <c r="J54" s="256"/>
    </row>
    <row r="55" spans="1:10" s="102" customFormat="1" ht="12.75" x14ac:dyDescent="0.2">
      <c r="A55" s="258" t="s">
        <v>376</v>
      </c>
      <c r="B55" s="537"/>
      <c r="C55" s="538"/>
      <c r="D55" s="261" t="s">
        <v>381</v>
      </c>
      <c r="E55" s="300"/>
      <c r="F55" s="301"/>
      <c r="G55" s="301"/>
      <c r="H55" s="31"/>
      <c r="I55" s="82"/>
      <c r="J55" s="256"/>
    </row>
    <row r="56" spans="1:10" s="102" customFormat="1" ht="25.5" x14ac:dyDescent="0.2">
      <c r="A56" s="257" t="s">
        <v>378</v>
      </c>
      <c r="B56" s="324">
        <v>40231</v>
      </c>
      <c r="C56" s="324" t="s">
        <v>43</v>
      </c>
      <c r="D56" s="228" t="s">
        <v>555</v>
      </c>
      <c r="E56" s="331" t="s">
        <v>303</v>
      </c>
      <c r="F56" s="333">
        <v>9.5</v>
      </c>
      <c r="G56" s="255">
        <v>490.85</v>
      </c>
      <c r="H56" s="103">
        <f>TRUNC(G56*F56,2)</f>
        <v>4663.07</v>
      </c>
      <c r="I56" s="82"/>
      <c r="J56" s="256"/>
    </row>
    <row r="57" spans="1:10" s="102" customFormat="1" ht="25.5" x14ac:dyDescent="0.2">
      <c r="A57" s="257" t="s">
        <v>382</v>
      </c>
      <c r="B57" s="288">
        <v>87622</v>
      </c>
      <c r="C57" s="288" t="s">
        <v>89</v>
      </c>
      <c r="D57" s="90" t="s">
        <v>153</v>
      </c>
      <c r="E57" s="288" t="s">
        <v>6</v>
      </c>
      <c r="F57" s="4">
        <v>174.84</v>
      </c>
      <c r="G57" s="302">
        <v>29.48</v>
      </c>
      <c r="H57" s="31">
        <f>TRUNC(G57*F57,2)</f>
        <v>5154.28</v>
      </c>
      <c r="I57" s="82"/>
      <c r="J57" s="256"/>
    </row>
    <row r="58" spans="1:10" s="102" customFormat="1" ht="25.5" x14ac:dyDescent="0.2">
      <c r="A58" s="257" t="s">
        <v>556</v>
      </c>
      <c r="B58" s="93">
        <v>94990</v>
      </c>
      <c r="C58" s="93" t="s">
        <v>89</v>
      </c>
      <c r="D58" s="228" t="s">
        <v>309</v>
      </c>
      <c r="E58" s="93" t="s">
        <v>303</v>
      </c>
      <c r="F58" s="254">
        <v>1.34</v>
      </c>
      <c r="G58" s="255">
        <v>602.70000000000005</v>
      </c>
      <c r="H58" s="31">
        <f>TRUNC(G58*F58,2)</f>
        <v>807.61</v>
      </c>
      <c r="I58" s="82"/>
      <c r="J58" s="256"/>
    </row>
    <row r="59" spans="1:10" s="102" customFormat="1" ht="12.75" x14ac:dyDescent="0.2">
      <c r="A59" s="91"/>
      <c r="B59" s="241"/>
      <c r="C59" s="93"/>
      <c r="D59" s="262" t="s">
        <v>77</v>
      </c>
      <c r="E59" s="252"/>
      <c r="F59" s="35"/>
      <c r="G59" s="89"/>
      <c r="H59" s="281">
        <f>SUM(H18:H58)</f>
        <v>66367.970000000016</v>
      </c>
      <c r="I59" s="82"/>
      <c r="J59" s="256"/>
    </row>
    <row r="60" spans="1:10" s="82" customFormat="1" ht="12.75" x14ac:dyDescent="0.2">
      <c r="A60" s="541"/>
      <c r="B60" s="542"/>
      <c r="C60" s="542"/>
      <c r="D60" s="542"/>
      <c r="E60" s="542"/>
      <c r="F60" s="542"/>
      <c r="G60" s="542"/>
      <c r="H60" s="542"/>
    </row>
    <row r="61" spans="1:10" s="10" customFormat="1" ht="12.75" x14ac:dyDescent="0.2">
      <c r="A61" s="263" t="s">
        <v>689</v>
      </c>
      <c r="B61" s="510"/>
      <c r="C61" s="512"/>
      <c r="D61" s="166" t="s">
        <v>88</v>
      </c>
      <c r="E61" s="510"/>
      <c r="F61" s="511"/>
      <c r="G61" s="511"/>
      <c r="H61" s="512"/>
    </row>
    <row r="62" spans="1:10" s="10" customFormat="1" ht="25.5" customHeight="1" x14ac:dyDescent="0.2">
      <c r="A62" s="91" t="s">
        <v>690</v>
      </c>
      <c r="B62" s="149" t="s">
        <v>629</v>
      </c>
      <c r="C62" s="251" t="s">
        <v>89</v>
      </c>
      <c r="D62" s="90" t="s">
        <v>628</v>
      </c>
      <c r="E62" s="149" t="s">
        <v>6</v>
      </c>
      <c r="F62" s="264">
        <v>173.95</v>
      </c>
      <c r="G62" s="265">
        <v>54.06</v>
      </c>
      <c r="H62" s="31">
        <f>TRUNC(G62*F62,2)</f>
        <v>9403.73</v>
      </c>
    </row>
    <row r="63" spans="1:10" s="2" customFormat="1" ht="25.5" customHeight="1" x14ac:dyDescent="0.2">
      <c r="A63" s="91" t="s">
        <v>691</v>
      </c>
      <c r="B63" s="385">
        <v>50501</v>
      </c>
      <c r="C63" s="4" t="s">
        <v>43</v>
      </c>
      <c r="D63" s="218" t="s">
        <v>808</v>
      </c>
      <c r="E63" s="4" t="s">
        <v>6</v>
      </c>
      <c r="F63" s="35">
        <v>40.200000000000003</v>
      </c>
      <c r="G63" s="92">
        <v>97.8</v>
      </c>
      <c r="H63" s="31">
        <f t="shared" ref="H63:H68" si="7">TRUNC(G63*F63,2)</f>
        <v>3931.56</v>
      </c>
    </row>
    <row r="64" spans="1:10" s="2" customFormat="1" ht="12.75" x14ac:dyDescent="0.2">
      <c r="A64" s="91" t="s">
        <v>692</v>
      </c>
      <c r="B64" s="289">
        <v>50301</v>
      </c>
      <c r="C64" s="4" t="s">
        <v>43</v>
      </c>
      <c r="D64" s="218" t="s">
        <v>377</v>
      </c>
      <c r="E64" s="4" t="s">
        <v>5</v>
      </c>
      <c r="F64" s="35">
        <v>13.7</v>
      </c>
      <c r="G64" s="92">
        <v>7.02</v>
      </c>
      <c r="H64" s="31">
        <f t="shared" si="7"/>
        <v>96.17</v>
      </c>
    </row>
    <row r="65" spans="1:8" s="2" customFormat="1" ht="12.75" customHeight="1" x14ac:dyDescent="0.2">
      <c r="A65" s="91" t="s">
        <v>693</v>
      </c>
      <c r="B65" s="34">
        <v>50205</v>
      </c>
      <c r="C65" s="251" t="s">
        <v>43</v>
      </c>
      <c r="D65" s="98" t="s">
        <v>150</v>
      </c>
      <c r="E65" s="252" t="s">
        <v>6</v>
      </c>
      <c r="F65" s="35">
        <v>12.49</v>
      </c>
      <c r="G65" s="36">
        <v>436.39</v>
      </c>
      <c r="H65" s="31">
        <f t="shared" si="7"/>
        <v>5450.51</v>
      </c>
    </row>
    <row r="66" spans="1:8" s="2" customFormat="1" ht="12.75" customHeight="1" x14ac:dyDescent="0.2">
      <c r="A66" s="91" t="s">
        <v>694</v>
      </c>
      <c r="B66" s="251">
        <v>210210</v>
      </c>
      <c r="C66" s="251" t="s">
        <v>43</v>
      </c>
      <c r="D66" s="98" t="s">
        <v>212</v>
      </c>
      <c r="E66" s="251" t="s">
        <v>6</v>
      </c>
      <c r="F66" s="4">
        <v>12.69</v>
      </c>
      <c r="G66" s="92">
        <v>364.11</v>
      </c>
      <c r="H66" s="31">
        <f t="shared" si="7"/>
        <v>4620.55</v>
      </c>
    </row>
    <row r="67" spans="1:8" s="2" customFormat="1" ht="12.75" customHeight="1" x14ac:dyDescent="0.2">
      <c r="A67" s="91" t="s">
        <v>695</v>
      </c>
      <c r="B67" s="535" t="s">
        <v>679</v>
      </c>
      <c r="C67" s="536"/>
      <c r="D67" s="98" t="s">
        <v>817</v>
      </c>
      <c r="E67" s="388" t="s">
        <v>4</v>
      </c>
      <c r="F67" s="4">
        <v>24</v>
      </c>
      <c r="G67" s="92">
        <v>40.08</v>
      </c>
      <c r="H67" s="31">
        <f t="shared" si="7"/>
        <v>961.92</v>
      </c>
    </row>
    <row r="68" spans="1:8" s="11" customFormat="1" ht="26.25" customHeight="1" x14ac:dyDescent="0.2">
      <c r="A68" s="91" t="s">
        <v>816</v>
      </c>
      <c r="B68" s="532" t="s">
        <v>147</v>
      </c>
      <c r="C68" s="532"/>
      <c r="D68" s="218" t="s">
        <v>161</v>
      </c>
      <c r="E68" s="4" t="s">
        <v>6</v>
      </c>
      <c r="F68" s="35">
        <v>20</v>
      </c>
      <c r="G68" s="92">
        <v>159.47</v>
      </c>
      <c r="H68" s="31">
        <f t="shared" si="7"/>
        <v>3189.4</v>
      </c>
    </row>
    <row r="69" spans="1:8" s="2" customFormat="1" ht="12.75" x14ac:dyDescent="0.2">
      <c r="A69" s="100"/>
      <c r="B69" s="100"/>
      <c r="C69" s="100"/>
      <c r="D69" s="101" t="s">
        <v>78</v>
      </c>
      <c r="E69" s="100"/>
      <c r="F69" s="102"/>
      <c r="G69" s="103"/>
      <c r="H69" s="104">
        <f>SUM(H62:H68)</f>
        <v>27653.84</v>
      </c>
    </row>
    <row r="70" spans="1:8" s="2" customFormat="1" ht="12.75" x14ac:dyDescent="0.2">
      <c r="A70" s="541"/>
      <c r="B70" s="542"/>
      <c r="C70" s="542"/>
      <c r="D70" s="542"/>
      <c r="E70" s="542"/>
      <c r="F70" s="542"/>
      <c r="G70" s="542"/>
      <c r="H70" s="543"/>
    </row>
    <row r="71" spans="1:8" s="2" customFormat="1" ht="12.75" x14ac:dyDescent="0.2">
      <c r="A71" s="263" t="s">
        <v>696</v>
      </c>
      <c r="B71" s="510"/>
      <c r="C71" s="512"/>
      <c r="D71" s="166" t="s">
        <v>90</v>
      </c>
      <c r="E71" s="510"/>
      <c r="F71" s="511"/>
      <c r="G71" s="511"/>
      <c r="H71" s="512"/>
    </row>
    <row r="72" spans="1:8" s="10" customFormat="1" ht="25.5" x14ac:dyDescent="0.2">
      <c r="A72" s="252" t="s">
        <v>697</v>
      </c>
      <c r="B72" s="93">
        <v>87873</v>
      </c>
      <c r="C72" s="252" t="s">
        <v>89</v>
      </c>
      <c r="D72" s="90" t="s">
        <v>151</v>
      </c>
      <c r="E72" s="252" t="s">
        <v>6</v>
      </c>
      <c r="F72" s="35">
        <v>430.55</v>
      </c>
      <c r="G72" s="89">
        <v>4.38</v>
      </c>
      <c r="H72" s="31">
        <f>TRUNC(G72*F72,2)</f>
        <v>1885.8</v>
      </c>
    </row>
    <row r="73" spans="1:8" s="10" customFormat="1" ht="12.75" x14ac:dyDescent="0.2">
      <c r="A73" s="360" t="s">
        <v>698</v>
      </c>
      <c r="B73" s="93">
        <v>160711</v>
      </c>
      <c r="C73" s="252" t="s">
        <v>43</v>
      </c>
      <c r="D73" s="39" t="s">
        <v>44</v>
      </c>
      <c r="E73" s="252" t="s">
        <v>6</v>
      </c>
      <c r="F73" s="35">
        <v>430.55</v>
      </c>
      <c r="G73" s="89">
        <v>47.82</v>
      </c>
      <c r="H73" s="31">
        <f t="shared" ref="H73:H75" si="8">TRUNC(G73*F73,2)</f>
        <v>20588.900000000001</v>
      </c>
    </row>
    <row r="74" spans="1:8" s="10" customFormat="1" ht="13.5" customHeight="1" x14ac:dyDescent="0.2">
      <c r="A74" s="360" t="s">
        <v>699</v>
      </c>
      <c r="B74" s="93">
        <v>190103</v>
      </c>
      <c r="C74" s="252" t="s">
        <v>43</v>
      </c>
      <c r="D74" s="39" t="s">
        <v>141</v>
      </c>
      <c r="E74" s="252" t="s">
        <v>6</v>
      </c>
      <c r="F74" s="35">
        <v>93.88</v>
      </c>
      <c r="G74" s="89">
        <v>14.88</v>
      </c>
      <c r="H74" s="31">
        <f t="shared" si="8"/>
        <v>1396.93</v>
      </c>
    </row>
    <row r="75" spans="1:8" s="11" customFormat="1" ht="25.5" x14ac:dyDescent="0.2">
      <c r="A75" s="360" t="s">
        <v>700</v>
      </c>
      <c r="B75" s="93">
        <v>87273</v>
      </c>
      <c r="C75" s="252" t="s">
        <v>89</v>
      </c>
      <c r="D75" s="98" t="s">
        <v>184</v>
      </c>
      <c r="E75" s="252" t="s">
        <v>6</v>
      </c>
      <c r="F75" s="35">
        <v>103.56</v>
      </c>
      <c r="G75" s="89">
        <v>64.099999999999994</v>
      </c>
      <c r="H75" s="31">
        <f t="shared" si="8"/>
        <v>6638.19</v>
      </c>
    </row>
    <row r="76" spans="1:8" s="10" customFormat="1" ht="12.75" x14ac:dyDescent="0.2">
      <c r="A76" s="100"/>
      <c r="B76" s="100"/>
      <c r="C76" s="100"/>
      <c r="D76" s="101" t="s">
        <v>79</v>
      </c>
      <c r="E76" s="100"/>
      <c r="F76" s="102"/>
      <c r="G76" s="92"/>
      <c r="H76" s="104">
        <f>SUM(H72:H75)</f>
        <v>30509.82</v>
      </c>
    </row>
    <row r="77" spans="1:8" s="10" customFormat="1" ht="12.75" x14ac:dyDescent="0.2">
      <c r="A77" s="544"/>
      <c r="B77" s="545"/>
      <c r="C77" s="545"/>
      <c r="D77" s="545"/>
      <c r="E77" s="545"/>
      <c r="F77" s="545"/>
      <c r="G77" s="545"/>
      <c r="H77" s="546"/>
    </row>
    <row r="78" spans="1:8" s="10" customFormat="1" ht="12.75" x14ac:dyDescent="0.2">
      <c r="A78" s="266" t="s">
        <v>701</v>
      </c>
      <c r="B78" s="513"/>
      <c r="C78" s="515"/>
      <c r="D78" s="212" t="s">
        <v>311</v>
      </c>
      <c r="E78" s="513"/>
      <c r="F78" s="514"/>
      <c r="G78" s="514"/>
      <c r="H78" s="515"/>
    </row>
    <row r="79" spans="1:8" s="10" customFormat="1" ht="25.5" x14ac:dyDescent="0.2">
      <c r="A79" s="371" t="s">
        <v>702</v>
      </c>
      <c r="B79" s="252">
        <v>98679</v>
      </c>
      <c r="C79" s="252" t="s">
        <v>89</v>
      </c>
      <c r="D79" s="216" t="s">
        <v>154</v>
      </c>
      <c r="E79" s="252" t="s">
        <v>6</v>
      </c>
      <c r="F79" s="35">
        <v>147.54</v>
      </c>
      <c r="G79" s="215">
        <v>28.14</v>
      </c>
      <c r="H79" s="31">
        <f>TRUNC(G79*F79,2)</f>
        <v>4151.7700000000004</v>
      </c>
    </row>
    <row r="80" spans="1:8" s="2" customFormat="1" ht="25.5" x14ac:dyDescent="0.2">
      <c r="A80" s="371" t="s">
        <v>703</v>
      </c>
      <c r="B80" s="252">
        <v>87257</v>
      </c>
      <c r="C80" s="252" t="s">
        <v>89</v>
      </c>
      <c r="D80" s="210" t="s">
        <v>152</v>
      </c>
      <c r="E80" s="252" t="s">
        <v>6</v>
      </c>
      <c r="F80" s="35">
        <v>27.3</v>
      </c>
      <c r="G80" s="211">
        <v>72.400000000000006</v>
      </c>
      <c r="H80" s="31">
        <f t="shared" ref="H80:H82" si="9">TRUNC(G80*F80,2)</f>
        <v>1976.52</v>
      </c>
    </row>
    <row r="81" spans="1:8" s="2" customFormat="1" ht="12.75" x14ac:dyDescent="0.2">
      <c r="A81" s="371" t="s">
        <v>704</v>
      </c>
      <c r="B81" s="347">
        <v>130301</v>
      </c>
      <c r="C81" s="252" t="s">
        <v>43</v>
      </c>
      <c r="D81" s="210" t="s">
        <v>596</v>
      </c>
      <c r="E81" s="252" t="s">
        <v>5</v>
      </c>
      <c r="F81" s="35">
        <v>32.200000000000003</v>
      </c>
      <c r="G81" s="211">
        <v>11.94</v>
      </c>
      <c r="H81" s="31">
        <f t="shared" si="9"/>
        <v>384.46</v>
      </c>
    </row>
    <row r="82" spans="1:8" s="2" customFormat="1" ht="12.75" x14ac:dyDescent="0.2">
      <c r="A82" s="371" t="s">
        <v>705</v>
      </c>
      <c r="B82" s="252">
        <v>130308</v>
      </c>
      <c r="C82" s="252" t="s">
        <v>43</v>
      </c>
      <c r="D82" s="210" t="s">
        <v>155</v>
      </c>
      <c r="E82" s="252" t="s">
        <v>156</v>
      </c>
      <c r="F82" s="35">
        <v>4.8</v>
      </c>
      <c r="G82" s="211">
        <v>50.23</v>
      </c>
      <c r="H82" s="31">
        <f t="shared" si="9"/>
        <v>241.1</v>
      </c>
    </row>
    <row r="83" spans="1:8" s="2" customFormat="1" ht="15" customHeight="1" x14ac:dyDescent="0.2">
      <c r="A83" s="100"/>
      <c r="B83" s="100"/>
      <c r="C83" s="100"/>
      <c r="D83" s="101" t="s">
        <v>80</v>
      </c>
      <c r="E83" s="100"/>
      <c r="F83" s="102"/>
      <c r="G83" s="103"/>
      <c r="H83" s="104">
        <f>SUM(H79:H82)</f>
        <v>6753.8500000000013</v>
      </c>
    </row>
    <row r="84" spans="1:8" s="2" customFormat="1" ht="15" customHeight="1" x14ac:dyDescent="0.2">
      <c r="A84" s="547"/>
      <c r="B84" s="548"/>
      <c r="C84" s="548"/>
      <c r="D84" s="548"/>
      <c r="E84" s="548"/>
      <c r="F84" s="548"/>
      <c r="G84" s="548"/>
      <c r="H84" s="549"/>
    </row>
    <row r="85" spans="1:8" s="2" customFormat="1" ht="15" customHeight="1" x14ac:dyDescent="0.2">
      <c r="A85" s="209" t="s">
        <v>706</v>
      </c>
      <c r="B85" s="510"/>
      <c r="C85" s="512"/>
      <c r="D85" s="166" t="s">
        <v>312</v>
      </c>
      <c r="E85" s="510"/>
      <c r="F85" s="511"/>
      <c r="G85" s="511"/>
      <c r="H85" s="512"/>
    </row>
    <row r="86" spans="1:8" s="2" customFormat="1" ht="15" customHeight="1" x14ac:dyDescent="0.2">
      <c r="A86" s="251" t="s">
        <v>707</v>
      </c>
      <c r="B86" s="251">
        <v>110201</v>
      </c>
      <c r="C86" s="251" t="s">
        <v>43</v>
      </c>
      <c r="D86" s="97" t="s">
        <v>159</v>
      </c>
      <c r="E86" s="271" t="s">
        <v>6</v>
      </c>
      <c r="F86" s="4">
        <v>35.93</v>
      </c>
      <c r="G86" s="92">
        <v>35.67</v>
      </c>
      <c r="H86" s="31">
        <f>TRUNC(G86*F86,2)</f>
        <v>1281.6199999999999</v>
      </c>
    </row>
    <row r="87" spans="1:8" s="2" customFormat="1" ht="15" customHeight="1" x14ac:dyDescent="0.2">
      <c r="A87" s="100"/>
      <c r="B87" s="100"/>
      <c r="C87" s="100"/>
      <c r="D87" s="101" t="s">
        <v>107</v>
      </c>
      <c r="E87" s="100"/>
      <c r="F87" s="102"/>
      <c r="G87" s="103"/>
      <c r="H87" s="104">
        <f>SUM(H86)</f>
        <v>1281.6199999999999</v>
      </c>
    </row>
    <row r="88" spans="1:8" s="2" customFormat="1" ht="15" customHeight="1" x14ac:dyDescent="0.2">
      <c r="A88" s="547"/>
      <c r="B88" s="548"/>
      <c r="C88" s="548"/>
      <c r="D88" s="548"/>
      <c r="E88" s="548"/>
      <c r="F88" s="548"/>
      <c r="G88" s="548"/>
      <c r="H88" s="549"/>
    </row>
    <row r="89" spans="1:8" ht="15" customHeight="1" x14ac:dyDescent="0.2">
      <c r="A89" s="209" t="s">
        <v>708</v>
      </c>
      <c r="B89" s="165"/>
      <c r="C89" s="165"/>
      <c r="D89" s="166" t="s">
        <v>94</v>
      </c>
      <c r="E89" s="165"/>
      <c r="F89" s="167"/>
      <c r="G89" s="168"/>
      <c r="H89" s="169"/>
    </row>
    <row r="90" spans="1:8" s="10" customFormat="1" ht="25.5" customHeight="1" x14ac:dyDescent="0.2">
      <c r="A90" s="252" t="s">
        <v>709</v>
      </c>
      <c r="B90" s="91" t="s">
        <v>99</v>
      </c>
      <c r="C90" s="252" t="s">
        <v>43</v>
      </c>
      <c r="D90" s="15" t="s">
        <v>98</v>
      </c>
      <c r="E90" s="252" t="s">
        <v>6</v>
      </c>
      <c r="F90" s="35">
        <v>4.2</v>
      </c>
      <c r="G90" s="38">
        <v>392.18</v>
      </c>
      <c r="H90" s="31">
        <f>TRUNC(G90*F90,2)</f>
        <v>1647.15</v>
      </c>
    </row>
    <row r="91" spans="1:8" s="10" customFormat="1" ht="12.75" x14ac:dyDescent="0.2">
      <c r="A91" s="360" t="s">
        <v>711</v>
      </c>
      <c r="B91" s="91" t="s">
        <v>157</v>
      </c>
      <c r="C91" s="252" t="s">
        <v>43</v>
      </c>
      <c r="D91" s="15" t="s">
        <v>158</v>
      </c>
      <c r="E91" s="252" t="s">
        <v>5</v>
      </c>
      <c r="F91" s="220">
        <v>3.5</v>
      </c>
      <c r="G91" s="38">
        <v>72.83</v>
      </c>
      <c r="H91" s="31">
        <f t="shared" ref="H91:H95" si="10">TRUNC(G91*F91,2)</f>
        <v>254.9</v>
      </c>
    </row>
    <row r="92" spans="1:8" s="2" customFormat="1" ht="15" customHeight="1" x14ac:dyDescent="0.2">
      <c r="A92" s="360" t="s">
        <v>712</v>
      </c>
      <c r="B92" s="149" t="s">
        <v>101</v>
      </c>
      <c r="C92" s="251" t="s">
        <v>43</v>
      </c>
      <c r="D92" s="95" t="s">
        <v>100</v>
      </c>
      <c r="E92" s="251" t="s">
        <v>6</v>
      </c>
      <c r="F92" s="4">
        <v>4.2</v>
      </c>
      <c r="G92" s="37">
        <v>128.22999999999999</v>
      </c>
      <c r="H92" s="31">
        <f t="shared" si="10"/>
        <v>538.55999999999995</v>
      </c>
    </row>
    <row r="93" spans="1:8" s="2" customFormat="1" ht="25.5" customHeight="1" x14ac:dyDescent="0.2">
      <c r="A93" s="360" t="s">
        <v>713</v>
      </c>
      <c r="B93" s="149" t="s">
        <v>103</v>
      </c>
      <c r="C93" s="251" t="s">
        <v>43</v>
      </c>
      <c r="D93" s="39" t="s">
        <v>102</v>
      </c>
      <c r="E93" s="251" t="s">
        <v>6</v>
      </c>
      <c r="F93" s="4">
        <v>5.22</v>
      </c>
      <c r="G93" s="37">
        <v>725.21</v>
      </c>
      <c r="H93" s="31">
        <f t="shared" si="10"/>
        <v>3785.59</v>
      </c>
    </row>
    <row r="94" spans="1:8" s="2" customFormat="1" ht="25.5" customHeight="1" x14ac:dyDescent="0.2">
      <c r="A94" s="360" t="s">
        <v>714</v>
      </c>
      <c r="B94" s="149" t="s">
        <v>130</v>
      </c>
      <c r="C94" s="251" t="s">
        <v>89</v>
      </c>
      <c r="D94" s="98" t="s">
        <v>129</v>
      </c>
      <c r="E94" s="251" t="s">
        <v>4</v>
      </c>
      <c r="F94" s="4">
        <v>6</v>
      </c>
      <c r="G94" s="37">
        <v>784.01</v>
      </c>
      <c r="H94" s="31">
        <f t="shared" si="10"/>
        <v>4704.0600000000004</v>
      </c>
    </row>
    <row r="95" spans="1:8" s="2" customFormat="1" ht="27" customHeight="1" x14ac:dyDescent="0.2">
      <c r="A95" s="360" t="s">
        <v>715</v>
      </c>
      <c r="B95" s="149" t="s">
        <v>119</v>
      </c>
      <c r="C95" s="251" t="s">
        <v>43</v>
      </c>
      <c r="D95" s="98" t="s">
        <v>118</v>
      </c>
      <c r="E95" s="251" t="s">
        <v>6</v>
      </c>
      <c r="F95" s="4">
        <v>12.68</v>
      </c>
      <c r="G95" s="37">
        <v>123.38</v>
      </c>
      <c r="H95" s="31">
        <f t="shared" si="10"/>
        <v>1564.45</v>
      </c>
    </row>
    <row r="96" spans="1:8" s="11" customFormat="1" ht="15" customHeight="1" x14ac:dyDescent="0.2">
      <c r="A96" s="100"/>
      <c r="B96" s="100"/>
      <c r="C96" s="100"/>
      <c r="D96" s="101" t="s">
        <v>106</v>
      </c>
      <c r="E96" s="100"/>
      <c r="F96" s="102"/>
      <c r="G96" s="103"/>
      <c r="H96" s="104">
        <f>SUM(H90:H95)</f>
        <v>12494.710000000003</v>
      </c>
    </row>
    <row r="97" spans="1:8" s="11" customFormat="1" ht="12.75" x14ac:dyDescent="0.2">
      <c r="A97" s="541"/>
      <c r="B97" s="542"/>
      <c r="C97" s="542"/>
      <c r="D97" s="542"/>
      <c r="E97" s="542"/>
      <c r="F97" s="542"/>
      <c r="G97" s="542"/>
      <c r="H97" s="543"/>
    </row>
    <row r="98" spans="1:8" s="11" customFormat="1" ht="12.75" x14ac:dyDescent="0.2">
      <c r="A98" s="208" t="s">
        <v>710</v>
      </c>
      <c r="B98" s="147"/>
      <c r="C98" s="147"/>
      <c r="D98" s="151" t="s">
        <v>104</v>
      </c>
      <c r="E98" s="147"/>
      <c r="F98" s="148"/>
      <c r="G98" s="150"/>
      <c r="H98" s="72"/>
    </row>
    <row r="99" spans="1:8" s="11" customFormat="1" ht="25.5" x14ac:dyDescent="0.2">
      <c r="A99" s="372" t="s">
        <v>716</v>
      </c>
      <c r="B99" s="326">
        <v>92580</v>
      </c>
      <c r="C99" s="288" t="s">
        <v>89</v>
      </c>
      <c r="D99" s="342" t="s">
        <v>582</v>
      </c>
      <c r="E99" s="288" t="s">
        <v>6</v>
      </c>
      <c r="F99" s="4">
        <v>74.17</v>
      </c>
      <c r="G99" s="303">
        <v>45.71</v>
      </c>
      <c r="H99" s="31">
        <f>TRUNC(G99*F99,2)</f>
        <v>3390.31</v>
      </c>
    </row>
    <row r="100" spans="1:8" s="11" customFormat="1" ht="25.5" x14ac:dyDescent="0.2">
      <c r="A100" s="372" t="s">
        <v>717</v>
      </c>
      <c r="B100" s="326">
        <v>200738</v>
      </c>
      <c r="C100" s="288" t="s">
        <v>43</v>
      </c>
      <c r="D100" s="342" t="s">
        <v>583</v>
      </c>
      <c r="E100" s="288" t="s">
        <v>231</v>
      </c>
      <c r="F100" s="4">
        <v>2143.9</v>
      </c>
      <c r="G100" s="303">
        <v>24.62</v>
      </c>
      <c r="H100" s="31">
        <f t="shared" ref="H100:H102" si="11">TRUNC(G100*F100,2)</f>
        <v>52782.81</v>
      </c>
    </row>
    <row r="101" spans="1:8" s="11" customFormat="1" ht="12.75" x14ac:dyDescent="0.2">
      <c r="A101" s="372" t="s">
        <v>718</v>
      </c>
      <c r="B101" s="535" t="s">
        <v>585</v>
      </c>
      <c r="C101" s="536"/>
      <c r="D101" s="269" t="s">
        <v>584</v>
      </c>
      <c r="E101" s="288" t="s">
        <v>6</v>
      </c>
      <c r="F101" s="4">
        <v>306.73</v>
      </c>
      <c r="G101" s="303">
        <v>9.3800000000000008</v>
      </c>
      <c r="H101" s="31">
        <f t="shared" si="11"/>
        <v>2877.12</v>
      </c>
    </row>
    <row r="102" spans="1:8" s="11" customFormat="1" ht="12.75" x14ac:dyDescent="0.2">
      <c r="A102" s="372" t="s">
        <v>719</v>
      </c>
      <c r="B102" s="535" t="s">
        <v>192</v>
      </c>
      <c r="C102" s="536"/>
      <c r="D102" s="269" t="s">
        <v>411</v>
      </c>
      <c r="E102" s="326" t="s">
        <v>5</v>
      </c>
      <c r="F102" s="4">
        <v>13.3</v>
      </c>
      <c r="G102" s="303">
        <v>101.21</v>
      </c>
      <c r="H102" s="31">
        <f t="shared" si="11"/>
        <v>1346.09</v>
      </c>
    </row>
    <row r="103" spans="1:8" s="11" customFormat="1" ht="12.75" x14ac:dyDescent="0.2">
      <c r="A103" s="100"/>
      <c r="B103" s="100"/>
      <c r="C103" s="100"/>
      <c r="D103" s="101" t="s">
        <v>111</v>
      </c>
      <c r="E103" s="100"/>
      <c r="F103" s="102"/>
      <c r="G103" s="103"/>
      <c r="H103" s="104">
        <f>SUM(H99:H102)</f>
        <v>60396.329999999994</v>
      </c>
    </row>
    <row r="104" spans="1:8" s="11" customFormat="1" ht="12.75" x14ac:dyDescent="0.2">
      <c r="A104" s="544"/>
      <c r="B104" s="545"/>
      <c r="C104" s="545"/>
      <c r="D104" s="545"/>
      <c r="E104" s="545"/>
      <c r="F104" s="545"/>
      <c r="G104" s="545"/>
      <c r="H104" s="546"/>
    </row>
    <row r="105" spans="1:8" s="2" customFormat="1" ht="15" customHeight="1" x14ac:dyDescent="0.2">
      <c r="A105" s="209" t="s">
        <v>720</v>
      </c>
      <c r="B105" s="165"/>
      <c r="C105" s="165"/>
      <c r="D105" s="166" t="s">
        <v>110</v>
      </c>
      <c r="E105" s="165"/>
      <c r="F105" s="167"/>
      <c r="G105" s="168"/>
      <c r="H105" s="169"/>
    </row>
    <row r="106" spans="1:8" s="2" customFormat="1" ht="15" customHeight="1" x14ac:dyDescent="0.2">
      <c r="A106" s="209" t="s">
        <v>721</v>
      </c>
      <c r="B106" s="165"/>
      <c r="C106" s="165"/>
      <c r="D106" s="166" t="s">
        <v>215</v>
      </c>
      <c r="E106" s="165"/>
      <c r="F106" s="167"/>
      <c r="G106" s="168"/>
      <c r="H106" s="169"/>
    </row>
    <row r="107" spans="1:8" s="2" customFormat="1" ht="15" customHeight="1" x14ac:dyDescent="0.2">
      <c r="A107" s="373" t="s">
        <v>722</v>
      </c>
      <c r="B107" s="251">
        <v>170129</v>
      </c>
      <c r="C107" s="251" t="s">
        <v>43</v>
      </c>
      <c r="D107" s="174" t="s">
        <v>142</v>
      </c>
      <c r="E107" s="251" t="s">
        <v>4</v>
      </c>
      <c r="F107" s="4">
        <v>2</v>
      </c>
      <c r="G107" s="92">
        <v>538.65</v>
      </c>
      <c r="H107" s="31">
        <f>TRUNC(G107*F107,2)</f>
        <v>1077.3</v>
      </c>
    </row>
    <row r="108" spans="1:8" s="2" customFormat="1" ht="15" customHeight="1" x14ac:dyDescent="0.2">
      <c r="A108" s="373" t="s">
        <v>723</v>
      </c>
      <c r="B108" s="251">
        <v>180809</v>
      </c>
      <c r="C108" s="251" t="s">
        <v>43</v>
      </c>
      <c r="D108" s="174" t="s">
        <v>143</v>
      </c>
      <c r="E108" s="251" t="s">
        <v>4</v>
      </c>
      <c r="F108" s="4">
        <v>2</v>
      </c>
      <c r="G108" s="92">
        <v>83</v>
      </c>
      <c r="H108" s="31">
        <f t="shared" ref="H108:H119" si="12">TRUNC(G108*F108,2)</f>
        <v>166</v>
      </c>
    </row>
    <row r="109" spans="1:8" s="2" customFormat="1" ht="15" customHeight="1" x14ac:dyDescent="0.2">
      <c r="A109" s="373" t="s">
        <v>724</v>
      </c>
      <c r="B109" s="389">
        <v>170328</v>
      </c>
      <c r="C109" s="389" t="s">
        <v>43</v>
      </c>
      <c r="D109" s="174" t="s">
        <v>801</v>
      </c>
      <c r="E109" s="389" t="s">
        <v>4</v>
      </c>
      <c r="F109" s="4">
        <v>2</v>
      </c>
      <c r="G109" s="92">
        <v>106.02</v>
      </c>
      <c r="H109" s="31">
        <f t="shared" si="12"/>
        <v>212.04</v>
      </c>
    </row>
    <row r="110" spans="1:8" s="2" customFormat="1" ht="15" customHeight="1" x14ac:dyDescent="0.2">
      <c r="A110" s="373" t="s">
        <v>725</v>
      </c>
      <c r="B110" s="389">
        <v>170317</v>
      </c>
      <c r="C110" s="389" t="s">
        <v>43</v>
      </c>
      <c r="D110" s="174" t="s">
        <v>832</v>
      </c>
      <c r="E110" s="389" t="s">
        <v>4</v>
      </c>
      <c r="F110" s="4">
        <v>2</v>
      </c>
      <c r="G110" s="92">
        <v>79.7</v>
      </c>
      <c r="H110" s="31">
        <f t="shared" si="12"/>
        <v>159.4</v>
      </c>
    </row>
    <row r="111" spans="1:8" s="2" customFormat="1" ht="15" customHeight="1" x14ac:dyDescent="0.2">
      <c r="A111" s="373" t="s">
        <v>726</v>
      </c>
      <c r="B111" s="251">
        <v>95546</v>
      </c>
      <c r="C111" s="251" t="s">
        <v>89</v>
      </c>
      <c r="D111" s="174" t="s">
        <v>144</v>
      </c>
      <c r="E111" s="251" t="s">
        <v>4</v>
      </c>
      <c r="F111" s="4">
        <v>2</v>
      </c>
      <c r="G111" s="92">
        <v>164</v>
      </c>
      <c r="H111" s="31">
        <f t="shared" si="12"/>
        <v>328</v>
      </c>
    </row>
    <row r="112" spans="1:8" s="2" customFormat="1" ht="15" customHeight="1" x14ac:dyDescent="0.2">
      <c r="A112" s="373" t="s">
        <v>727</v>
      </c>
      <c r="B112" s="251">
        <v>142117</v>
      </c>
      <c r="C112" s="251" t="s">
        <v>43</v>
      </c>
      <c r="D112" s="174" t="s">
        <v>113</v>
      </c>
      <c r="E112" s="251" t="s">
        <v>4</v>
      </c>
      <c r="F112" s="4">
        <v>3</v>
      </c>
      <c r="G112" s="92">
        <v>19.22</v>
      </c>
      <c r="H112" s="31">
        <f t="shared" si="12"/>
        <v>57.66</v>
      </c>
    </row>
    <row r="113" spans="1:8" s="2" customFormat="1" ht="15" customHeight="1" x14ac:dyDescent="0.2">
      <c r="A113" s="373" t="s">
        <v>728</v>
      </c>
      <c r="B113" s="251">
        <v>170133</v>
      </c>
      <c r="C113" s="251" t="s">
        <v>43</v>
      </c>
      <c r="D113" s="174" t="s">
        <v>214</v>
      </c>
      <c r="E113" s="251" t="s">
        <v>4</v>
      </c>
      <c r="F113" s="4">
        <v>2</v>
      </c>
      <c r="G113" s="92">
        <v>327.55</v>
      </c>
      <c r="H113" s="31">
        <f t="shared" si="12"/>
        <v>655.1</v>
      </c>
    </row>
    <row r="114" spans="1:8" s="2" customFormat="1" ht="25.5" customHeight="1" x14ac:dyDescent="0.2">
      <c r="A114" s="373" t="s">
        <v>729</v>
      </c>
      <c r="B114" s="251">
        <v>86935</v>
      </c>
      <c r="C114" s="251" t="s">
        <v>89</v>
      </c>
      <c r="D114" s="98" t="s">
        <v>121</v>
      </c>
      <c r="E114" s="251" t="s">
        <v>4</v>
      </c>
      <c r="F114" s="4">
        <v>1</v>
      </c>
      <c r="G114" s="92">
        <v>254.81</v>
      </c>
      <c r="H114" s="31">
        <f t="shared" si="12"/>
        <v>254.81</v>
      </c>
    </row>
    <row r="115" spans="1:8" s="2" customFormat="1" ht="15" customHeight="1" x14ac:dyDescent="0.2">
      <c r="A115" s="373" t="s">
        <v>730</v>
      </c>
      <c r="B115" s="251">
        <v>170220</v>
      </c>
      <c r="C115" s="251" t="s">
        <v>43</v>
      </c>
      <c r="D115" s="98" t="s">
        <v>120</v>
      </c>
      <c r="E115" s="251" t="s">
        <v>6</v>
      </c>
      <c r="F115" s="4">
        <v>1.76</v>
      </c>
      <c r="G115" s="92">
        <v>348.65</v>
      </c>
      <c r="H115" s="31">
        <f t="shared" si="12"/>
        <v>613.62</v>
      </c>
    </row>
    <row r="116" spans="1:8" s="2" customFormat="1" ht="15" customHeight="1" x14ac:dyDescent="0.2">
      <c r="A116" s="373" t="s">
        <v>731</v>
      </c>
      <c r="B116" s="251">
        <v>86906</v>
      </c>
      <c r="C116" s="251" t="s">
        <v>89</v>
      </c>
      <c r="D116" s="97" t="s">
        <v>122</v>
      </c>
      <c r="E116" s="251" t="s">
        <v>4</v>
      </c>
      <c r="F116" s="4">
        <v>2</v>
      </c>
      <c r="G116" s="92">
        <v>51.41</v>
      </c>
      <c r="H116" s="31">
        <f t="shared" si="12"/>
        <v>102.82</v>
      </c>
    </row>
    <row r="117" spans="1:8" s="2" customFormat="1" ht="15" customHeight="1" x14ac:dyDescent="0.2">
      <c r="A117" s="373" t="s">
        <v>732</v>
      </c>
      <c r="B117" s="251">
        <v>86909</v>
      </c>
      <c r="C117" s="251" t="s">
        <v>89</v>
      </c>
      <c r="D117" s="174" t="s">
        <v>145</v>
      </c>
      <c r="E117" s="251" t="s">
        <v>4</v>
      </c>
      <c r="F117" s="4">
        <v>1</v>
      </c>
      <c r="G117" s="92">
        <v>102.6</v>
      </c>
      <c r="H117" s="31">
        <f t="shared" si="12"/>
        <v>102.6</v>
      </c>
    </row>
    <row r="118" spans="1:8" s="2" customFormat="1" ht="15" customHeight="1" x14ac:dyDescent="0.2">
      <c r="A118" s="373" t="s">
        <v>831</v>
      </c>
      <c r="B118" s="251">
        <v>170546</v>
      </c>
      <c r="C118" s="251" t="s">
        <v>43</v>
      </c>
      <c r="D118" s="174" t="s">
        <v>190</v>
      </c>
      <c r="E118" s="251" t="s">
        <v>4</v>
      </c>
      <c r="F118" s="4">
        <v>1</v>
      </c>
      <c r="G118" s="92">
        <v>303.61</v>
      </c>
      <c r="H118" s="31">
        <f t="shared" si="12"/>
        <v>303.61</v>
      </c>
    </row>
    <row r="119" spans="1:8" s="2" customFormat="1" ht="15" customHeight="1" x14ac:dyDescent="0.2">
      <c r="A119" s="373" t="s">
        <v>833</v>
      </c>
      <c r="B119" s="251">
        <v>170306</v>
      </c>
      <c r="C119" s="251" t="s">
        <v>43</v>
      </c>
      <c r="D119" s="174" t="s">
        <v>191</v>
      </c>
      <c r="E119" s="251" t="s">
        <v>4</v>
      </c>
      <c r="F119" s="4">
        <v>2</v>
      </c>
      <c r="G119" s="92">
        <v>92.45</v>
      </c>
      <c r="H119" s="31">
        <f t="shared" si="12"/>
        <v>184.9</v>
      </c>
    </row>
    <row r="120" spans="1:8" s="2" customFormat="1" ht="15" customHeight="1" x14ac:dyDescent="0.2">
      <c r="A120" s="209" t="s">
        <v>733</v>
      </c>
      <c r="B120" s="147"/>
      <c r="C120" s="147"/>
      <c r="D120" s="166" t="s">
        <v>811</v>
      </c>
      <c r="E120" s="147"/>
      <c r="F120" s="148"/>
      <c r="G120" s="238"/>
      <c r="H120" s="239"/>
    </row>
    <row r="121" spans="1:8" s="11" customFormat="1" ht="15" customHeight="1" x14ac:dyDescent="0.2">
      <c r="A121" s="389" t="s">
        <v>735</v>
      </c>
      <c r="B121" s="389">
        <v>141409</v>
      </c>
      <c r="C121" s="337" t="s">
        <v>43</v>
      </c>
      <c r="D121" s="15" t="s">
        <v>826</v>
      </c>
      <c r="E121" s="337" t="s">
        <v>5</v>
      </c>
      <c r="F121" s="4">
        <v>21.76</v>
      </c>
      <c r="G121" s="92">
        <v>16.41</v>
      </c>
      <c r="H121" s="31">
        <f t="shared" ref="H121:H129" si="13">TRUNC(G121*F121,2)</f>
        <v>357.08</v>
      </c>
    </row>
    <row r="122" spans="1:8" s="11" customFormat="1" ht="12.75" customHeight="1" x14ac:dyDescent="0.2">
      <c r="A122" s="389" t="s">
        <v>734</v>
      </c>
      <c r="B122" s="389">
        <v>141906</v>
      </c>
      <c r="C122" s="251" t="s">
        <v>43</v>
      </c>
      <c r="D122" s="98" t="s">
        <v>827</v>
      </c>
      <c r="E122" s="251" t="s">
        <v>5</v>
      </c>
      <c r="F122" s="4">
        <v>0.72</v>
      </c>
      <c r="G122" s="92">
        <v>29.42</v>
      </c>
      <c r="H122" s="31">
        <f t="shared" si="13"/>
        <v>21.18</v>
      </c>
    </row>
    <row r="123" spans="1:8" s="11" customFormat="1" ht="12" customHeight="1" x14ac:dyDescent="0.2">
      <c r="A123" s="389" t="s">
        <v>736</v>
      </c>
      <c r="B123" s="389">
        <v>141907</v>
      </c>
      <c r="C123" s="251" t="s">
        <v>43</v>
      </c>
      <c r="D123" s="98" t="s">
        <v>828</v>
      </c>
      <c r="E123" s="251" t="s">
        <v>5</v>
      </c>
      <c r="F123" s="4">
        <v>17.09</v>
      </c>
      <c r="G123" s="92">
        <v>36.58</v>
      </c>
      <c r="H123" s="31">
        <f t="shared" si="13"/>
        <v>625.15</v>
      </c>
    </row>
    <row r="124" spans="1:8" s="11" customFormat="1" ht="12.75" customHeight="1" x14ac:dyDescent="0.2">
      <c r="A124" s="389" t="s">
        <v>737</v>
      </c>
      <c r="B124" s="389">
        <v>141908</v>
      </c>
      <c r="C124" s="251" t="s">
        <v>43</v>
      </c>
      <c r="D124" s="98" t="s">
        <v>829</v>
      </c>
      <c r="E124" s="251" t="s">
        <v>5</v>
      </c>
      <c r="F124" s="4">
        <v>7.1</v>
      </c>
      <c r="G124" s="92">
        <v>53.63</v>
      </c>
      <c r="H124" s="31">
        <f t="shared" si="13"/>
        <v>380.77</v>
      </c>
    </row>
    <row r="125" spans="1:8" s="11" customFormat="1" ht="12.75" x14ac:dyDescent="0.2">
      <c r="A125" s="389" t="s">
        <v>738</v>
      </c>
      <c r="B125" s="389">
        <v>141909</v>
      </c>
      <c r="C125" s="389" t="s">
        <v>43</v>
      </c>
      <c r="D125" s="98" t="s">
        <v>830</v>
      </c>
      <c r="E125" s="251" t="s">
        <v>5</v>
      </c>
      <c r="F125" s="4">
        <v>14.45</v>
      </c>
      <c r="G125" s="92">
        <v>59.99</v>
      </c>
      <c r="H125" s="31">
        <f t="shared" si="13"/>
        <v>866.85</v>
      </c>
    </row>
    <row r="126" spans="1:8" s="11" customFormat="1" ht="12.75" x14ac:dyDescent="0.2">
      <c r="A126" s="389" t="s">
        <v>739</v>
      </c>
      <c r="B126" s="389">
        <v>89710</v>
      </c>
      <c r="C126" s="389" t="s">
        <v>89</v>
      </c>
      <c r="D126" s="97" t="s">
        <v>840</v>
      </c>
      <c r="E126" s="389" t="s">
        <v>4</v>
      </c>
      <c r="F126" s="4">
        <v>3</v>
      </c>
      <c r="G126" s="92">
        <v>11.24</v>
      </c>
      <c r="H126" s="31">
        <f t="shared" si="13"/>
        <v>33.72</v>
      </c>
    </row>
    <row r="127" spans="1:8" s="11" customFormat="1" ht="12.75" x14ac:dyDescent="0.2">
      <c r="A127" s="389" t="s">
        <v>740</v>
      </c>
      <c r="B127" s="389">
        <v>142111</v>
      </c>
      <c r="C127" s="389" t="s">
        <v>43</v>
      </c>
      <c r="D127" s="98" t="s">
        <v>841</v>
      </c>
      <c r="E127" s="251" t="s">
        <v>4</v>
      </c>
      <c r="F127" s="4">
        <v>2</v>
      </c>
      <c r="G127" s="92">
        <v>152.53</v>
      </c>
      <c r="H127" s="31">
        <f t="shared" si="13"/>
        <v>305.06</v>
      </c>
    </row>
    <row r="128" spans="1:8" s="11" customFormat="1" ht="26.25" customHeight="1" x14ac:dyDescent="0.2">
      <c r="A128" s="389" t="s">
        <v>741</v>
      </c>
      <c r="B128" s="363">
        <v>141104</v>
      </c>
      <c r="C128" s="251" t="s">
        <v>43</v>
      </c>
      <c r="D128" s="39" t="s">
        <v>687</v>
      </c>
      <c r="E128" s="251" t="s">
        <v>4</v>
      </c>
      <c r="F128" s="4">
        <v>1</v>
      </c>
      <c r="G128" s="92">
        <v>484.53</v>
      </c>
      <c r="H128" s="31">
        <f t="shared" si="13"/>
        <v>484.53</v>
      </c>
    </row>
    <row r="129" spans="1:8" s="11" customFormat="1" ht="27" customHeight="1" x14ac:dyDescent="0.2">
      <c r="A129" s="389" t="s">
        <v>742</v>
      </c>
      <c r="B129" s="359">
        <v>141110</v>
      </c>
      <c r="C129" s="251" t="s">
        <v>43</v>
      </c>
      <c r="D129" s="98" t="s">
        <v>688</v>
      </c>
      <c r="E129" s="251" t="s">
        <v>4</v>
      </c>
      <c r="F129" s="4">
        <v>1</v>
      </c>
      <c r="G129" s="92">
        <v>648.35</v>
      </c>
      <c r="H129" s="31">
        <f t="shared" si="13"/>
        <v>648.35</v>
      </c>
    </row>
    <row r="130" spans="1:8" s="11" customFormat="1" ht="12.75" x14ac:dyDescent="0.2">
      <c r="A130" s="389" t="s">
        <v>743</v>
      </c>
      <c r="B130" s="533" t="s">
        <v>162</v>
      </c>
      <c r="C130" s="533"/>
      <c r="D130" s="95" t="s">
        <v>436</v>
      </c>
      <c r="E130" s="251" t="s">
        <v>4</v>
      </c>
      <c r="F130" s="4">
        <v>1</v>
      </c>
      <c r="G130" s="92">
        <v>1341.78</v>
      </c>
      <c r="H130" s="31">
        <f>TRUNC(G130*F130,2)</f>
        <v>1341.78</v>
      </c>
    </row>
    <row r="131" spans="1:8" s="11" customFormat="1" ht="25.5" x14ac:dyDescent="0.2">
      <c r="A131" s="389" t="s">
        <v>744</v>
      </c>
      <c r="B131" s="386">
        <v>140207</v>
      </c>
      <c r="C131" s="386" t="s">
        <v>43</v>
      </c>
      <c r="D131" s="39" t="s">
        <v>809</v>
      </c>
      <c r="E131" s="386" t="s">
        <v>4</v>
      </c>
      <c r="F131" s="4">
        <v>1</v>
      </c>
      <c r="G131" s="92">
        <v>400.23</v>
      </c>
      <c r="H131" s="31">
        <f>TRUNC(G131*F131,2)</f>
        <v>400.23</v>
      </c>
    </row>
    <row r="132" spans="1:8" s="11" customFormat="1" ht="15" customHeight="1" x14ac:dyDescent="0.2">
      <c r="A132" s="361" t="s">
        <v>745</v>
      </c>
      <c r="B132" s="362"/>
      <c r="C132" s="362"/>
      <c r="D132" s="369" t="s">
        <v>680</v>
      </c>
      <c r="E132" s="362"/>
      <c r="F132" s="148"/>
      <c r="G132" s="238"/>
      <c r="H132" s="72"/>
    </row>
    <row r="133" spans="1:8" s="11" customFormat="1" ht="15" customHeight="1" x14ac:dyDescent="0.2">
      <c r="A133" s="359" t="s">
        <v>746</v>
      </c>
      <c r="B133" s="370" t="s">
        <v>301</v>
      </c>
      <c r="C133" s="359" t="s">
        <v>43</v>
      </c>
      <c r="D133" s="95" t="s">
        <v>302</v>
      </c>
      <c r="E133" s="359" t="s">
        <v>303</v>
      </c>
      <c r="F133" s="4">
        <v>18.600000000000001</v>
      </c>
      <c r="G133" s="92">
        <v>46.31</v>
      </c>
      <c r="H133" s="31">
        <f>TRUNC(G133*F133,2)</f>
        <v>861.36</v>
      </c>
    </row>
    <row r="134" spans="1:8" s="11" customFormat="1" ht="15" customHeight="1" x14ac:dyDescent="0.2">
      <c r="A134" s="359" t="s">
        <v>747</v>
      </c>
      <c r="B134" s="370" t="s">
        <v>682</v>
      </c>
      <c r="C134" s="359" t="s">
        <v>43</v>
      </c>
      <c r="D134" s="95" t="s">
        <v>681</v>
      </c>
      <c r="E134" s="359" t="s">
        <v>303</v>
      </c>
      <c r="F134" s="4">
        <v>13.89</v>
      </c>
      <c r="G134" s="92">
        <v>6.42</v>
      </c>
      <c r="H134" s="31">
        <f t="shared" ref="H134:H137" si="14">TRUNC(G134*F134,2)</f>
        <v>89.17</v>
      </c>
    </row>
    <row r="135" spans="1:8" s="11" customFormat="1" ht="25.5" x14ac:dyDescent="0.2">
      <c r="A135" s="359" t="s">
        <v>748</v>
      </c>
      <c r="B135" s="535" t="s">
        <v>607</v>
      </c>
      <c r="C135" s="536"/>
      <c r="D135" s="39" t="s">
        <v>633</v>
      </c>
      <c r="E135" s="358" t="s">
        <v>4</v>
      </c>
      <c r="F135" s="4">
        <v>1</v>
      </c>
      <c r="G135" s="92">
        <v>1469.2</v>
      </c>
      <c r="H135" s="31">
        <f t="shared" si="14"/>
        <v>1469.2</v>
      </c>
    </row>
    <row r="136" spans="1:8" s="11" customFormat="1" ht="25.5" x14ac:dyDescent="0.2">
      <c r="A136" s="359" t="s">
        <v>749</v>
      </c>
      <c r="B136" s="535" t="s">
        <v>677</v>
      </c>
      <c r="C136" s="536"/>
      <c r="D136" s="39" t="s">
        <v>834</v>
      </c>
      <c r="E136" s="358" t="s">
        <v>4</v>
      </c>
      <c r="F136" s="4">
        <v>1</v>
      </c>
      <c r="G136" s="92">
        <v>1622.71</v>
      </c>
      <c r="H136" s="31">
        <f t="shared" si="14"/>
        <v>1622.71</v>
      </c>
    </row>
    <row r="137" spans="1:8" s="11" customFormat="1" ht="25.5" x14ac:dyDescent="0.2">
      <c r="A137" s="359" t="s">
        <v>750</v>
      </c>
      <c r="B137" s="535" t="s">
        <v>678</v>
      </c>
      <c r="C137" s="536"/>
      <c r="D137" s="39" t="s">
        <v>676</v>
      </c>
      <c r="E137" s="358" t="s">
        <v>4</v>
      </c>
      <c r="F137" s="4">
        <v>1</v>
      </c>
      <c r="G137" s="92">
        <v>1234.1600000000001</v>
      </c>
      <c r="H137" s="31">
        <f t="shared" si="14"/>
        <v>1234.1600000000001</v>
      </c>
    </row>
    <row r="138" spans="1:8" s="11" customFormat="1" ht="15" customHeight="1" x14ac:dyDescent="0.2">
      <c r="A138" s="100"/>
      <c r="B138" s="100"/>
      <c r="C138" s="100"/>
      <c r="D138" s="101" t="s">
        <v>116</v>
      </c>
      <c r="E138" s="100"/>
      <c r="F138" s="102"/>
      <c r="G138" s="103"/>
      <c r="H138" s="104">
        <f>SUM(H107:H137)</f>
        <v>14959.16</v>
      </c>
    </row>
    <row r="139" spans="1:8" s="11" customFormat="1" ht="15" customHeight="1" x14ac:dyDescent="0.2">
      <c r="A139" s="535"/>
      <c r="B139" s="550"/>
      <c r="C139" s="550"/>
      <c r="D139" s="550"/>
      <c r="E139" s="550"/>
      <c r="F139" s="550"/>
      <c r="G139" s="550"/>
      <c r="H139" s="536"/>
    </row>
    <row r="140" spans="1:8" s="2" customFormat="1" ht="15" customHeight="1" x14ac:dyDescent="0.2">
      <c r="A140" s="165" t="s">
        <v>751</v>
      </c>
      <c r="B140" s="539"/>
      <c r="C140" s="539"/>
      <c r="D140" s="166" t="s">
        <v>112</v>
      </c>
      <c r="E140" s="165"/>
      <c r="F140" s="167"/>
      <c r="G140" s="73"/>
      <c r="H140" s="169"/>
    </row>
    <row r="141" spans="1:8" s="2" customFormat="1" ht="15" customHeight="1" x14ac:dyDescent="0.2">
      <c r="A141" s="165" t="s">
        <v>752</v>
      </c>
      <c r="B141" s="540"/>
      <c r="C141" s="540"/>
      <c r="D141" s="166" t="s">
        <v>216</v>
      </c>
      <c r="E141" s="147"/>
      <c r="F141" s="148"/>
      <c r="G141" s="238"/>
      <c r="H141" s="239"/>
    </row>
    <row r="142" spans="1:8" s="2" customFormat="1" ht="15" customHeight="1" x14ac:dyDescent="0.2">
      <c r="A142" s="360" t="s">
        <v>753</v>
      </c>
      <c r="B142" s="533" t="s">
        <v>225</v>
      </c>
      <c r="C142" s="533"/>
      <c r="D142" s="174" t="s">
        <v>261</v>
      </c>
      <c r="E142" s="251" t="s">
        <v>4</v>
      </c>
      <c r="F142" s="4">
        <v>10</v>
      </c>
      <c r="G142" s="92">
        <v>96.16</v>
      </c>
      <c r="H142" s="31">
        <f>TRUNC(G142*F142,2)</f>
        <v>961.6</v>
      </c>
    </row>
    <row r="143" spans="1:8" s="2" customFormat="1" ht="15" customHeight="1" x14ac:dyDescent="0.2">
      <c r="A143" s="360" t="s">
        <v>754</v>
      </c>
      <c r="B143" s="534" t="s">
        <v>437</v>
      </c>
      <c r="C143" s="534"/>
      <c r="D143" s="98" t="s">
        <v>268</v>
      </c>
      <c r="E143" s="251" t="s">
        <v>4</v>
      </c>
      <c r="F143" s="4">
        <v>12</v>
      </c>
      <c r="G143" s="92">
        <v>317.39999999999998</v>
      </c>
      <c r="H143" s="31">
        <f t="shared" ref="H143:H153" si="15">TRUNC(G143*F143,2)</f>
        <v>3808.8</v>
      </c>
    </row>
    <row r="144" spans="1:8" s="2" customFormat="1" ht="12.75" x14ac:dyDescent="0.2">
      <c r="A144" s="360" t="s">
        <v>755</v>
      </c>
      <c r="B144" s="251">
        <v>97599</v>
      </c>
      <c r="C144" s="251" t="s">
        <v>89</v>
      </c>
      <c r="D144" s="97" t="s">
        <v>239</v>
      </c>
      <c r="E144" s="251" t="s">
        <v>4</v>
      </c>
      <c r="F144" s="4">
        <v>1</v>
      </c>
      <c r="G144" s="92">
        <v>46.66</v>
      </c>
      <c r="H144" s="31">
        <f t="shared" si="15"/>
        <v>46.66</v>
      </c>
    </row>
    <row r="145" spans="1:8" s="2" customFormat="1" ht="12.75" x14ac:dyDescent="0.2">
      <c r="A145" s="360" t="s">
        <v>756</v>
      </c>
      <c r="B145" s="93">
        <v>91953</v>
      </c>
      <c r="C145" s="251" t="s">
        <v>89</v>
      </c>
      <c r="D145" s="95" t="s">
        <v>233</v>
      </c>
      <c r="E145" s="251" t="s">
        <v>4</v>
      </c>
      <c r="F145" s="4">
        <v>5</v>
      </c>
      <c r="G145" s="92">
        <v>25.44</v>
      </c>
      <c r="H145" s="31">
        <f t="shared" si="15"/>
        <v>127.2</v>
      </c>
    </row>
    <row r="146" spans="1:8" s="2" customFormat="1" ht="12.75" x14ac:dyDescent="0.2">
      <c r="A146" s="360" t="s">
        <v>757</v>
      </c>
      <c r="B146" s="93">
        <v>92023</v>
      </c>
      <c r="C146" s="251" t="s">
        <v>89</v>
      </c>
      <c r="D146" s="227" t="s">
        <v>234</v>
      </c>
      <c r="E146" s="251" t="s">
        <v>4</v>
      </c>
      <c r="F146" s="4">
        <v>1</v>
      </c>
      <c r="G146" s="92">
        <v>45.03</v>
      </c>
      <c r="H146" s="31">
        <f t="shared" si="15"/>
        <v>45.03</v>
      </c>
    </row>
    <row r="147" spans="1:8" s="2" customFormat="1" ht="12.75" x14ac:dyDescent="0.2">
      <c r="A147" s="360" t="s">
        <v>758</v>
      </c>
      <c r="B147" s="93">
        <v>91992</v>
      </c>
      <c r="C147" s="251" t="s">
        <v>89</v>
      </c>
      <c r="D147" s="95" t="s">
        <v>232</v>
      </c>
      <c r="E147" s="251" t="s">
        <v>4</v>
      </c>
      <c r="F147" s="4">
        <v>1</v>
      </c>
      <c r="G147" s="92">
        <v>38.75</v>
      </c>
      <c r="H147" s="31">
        <f t="shared" si="15"/>
        <v>38.75</v>
      </c>
    </row>
    <row r="148" spans="1:8" s="2" customFormat="1" ht="12.75" x14ac:dyDescent="0.2">
      <c r="A148" s="360" t="s">
        <v>759</v>
      </c>
      <c r="B148" s="93">
        <v>91993</v>
      </c>
      <c r="C148" s="251" t="s">
        <v>89</v>
      </c>
      <c r="D148" s="97" t="s">
        <v>247</v>
      </c>
      <c r="E148" s="251" t="s">
        <v>4</v>
      </c>
      <c r="F148" s="4">
        <v>2</v>
      </c>
      <c r="G148" s="92">
        <v>41.09</v>
      </c>
      <c r="H148" s="31">
        <f t="shared" si="15"/>
        <v>82.18</v>
      </c>
    </row>
    <row r="149" spans="1:8" s="2" customFormat="1" ht="12.75" x14ac:dyDescent="0.2">
      <c r="A149" s="360" t="s">
        <v>760</v>
      </c>
      <c r="B149" s="93">
        <v>91996</v>
      </c>
      <c r="C149" s="251" t="s">
        <v>89</v>
      </c>
      <c r="D149" s="95" t="s">
        <v>235</v>
      </c>
      <c r="E149" s="251" t="s">
        <v>4</v>
      </c>
      <c r="F149" s="4">
        <v>5</v>
      </c>
      <c r="G149" s="92">
        <v>30.23</v>
      </c>
      <c r="H149" s="31">
        <f t="shared" si="15"/>
        <v>151.15</v>
      </c>
    </row>
    <row r="150" spans="1:8" s="2" customFormat="1" ht="12.75" x14ac:dyDescent="0.2">
      <c r="A150" s="360" t="s">
        <v>761</v>
      </c>
      <c r="B150" s="93">
        <v>92004</v>
      </c>
      <c r="C150" s="251" t="s">
        <v>89</v>
      </c>
      <c r="D150" s="95" t="s">
        <v>236</v>
      </c>
      <c r="E150" s="251" t="s">
        <v>4</v>
      </c>
      <c r="F150" s="4">
        <v>3</v>
      </c>
      <c r="G150" s="92">
        <v>49.82</v>
      </c>
      <c r="H150" s="31">
        <f t="shared" si="15"/>
        <v>149.46</v>
      </c>
    </row>
    <row r="151" spans="1:8" s="2" customFormat="1" ht="12.75" x14ac:dyDescent="0.2">
      <c r="A151" s="360" t="s">
        <v>762</v>
      </c>
      <c r="B151" s="93">
        <v>92008</v>
      </c>
      <c r="C151" s="251" t="s">
        <v>89</v>
      </c>
      <c r="D151" s="95" t="s">
        <v>237</v>
      </c>
      <c r="E151" s="251" t="s">
        <v>4</v>
      </c>
      <c r="F151" s="4">
        <v>2</v>
      </c>
      <c r="G151" s="92">
        <v>43.2</v>
      </c>
      <c r="H151" s="31">
        <f t="shared" si="15"/>
        <v>86.4</v>
      </c>
    </row>
    <row r="152" spans="1:8" s="2" customFormat="1" ht="12.75" x14ac:dyDescent="0.2">
      <c r="A152" s="360" t="s">
        <v>763</v>
      </c>
      <c r="B152" s="551" t="s">
        <v>262</v>
      </c>
      <c r="C152" s="551"/>
      <c r="D152" s="95" t="s">
        <v>278</v>
      </c>
      <c r="E152" s="251" t="s">
        <v>4</v>
      </c>
      <c r="F152" s="4">
        <v>6</v>
      </c>
      <c r="G152" s="92">
        <v>66.63</v>
      </c>
      <c r="H152" s="31">
        <f t="shared" si="15"/>
        <v>399.78</v>
      </c>
    </row>
    <row r="153" spans="1:8" s="2" customFormat="1" ht="12.75" x14ac:dyDescent="0.2">
      <c r="A153" s="360" t="s">
        <v>764</v>
      </c>
      <c r="B153" s="93">
        <v>160120</v>
      </c>
      <c r="C153" s="251" t="s">
        <v>43</v>
      </c>
      <c r="D153" s="95" t="s">
        <v>249</v>
      </c>
      <c r="E153" s="251" t="s">
        <v>4</v>
      </c>
      <c r="F153" s="4">
        <v>1</v>
      </c>
      <c r="G153" s="92">
        <v>30.82</v>
      </c>
      <c r="H153" s="31">
        <f t="shared" si="15"/>
        <v>30.82</v>
      </c>
    </row>
    <row r="154" spans="1:8" s="2" customFormat="1" ht="12.75" x14ac:dyDescent="0.2">
      <c r="A154" s="165" t="s">
        <v>765</v>
      </c>
      <c r="B154" s="540"/>
      <c r="C154" s="540"/>
      <c r="D154" s="166" t="s">
        <v>248</v>
      </c>
      <c r="E154" s="147"/>
      <c r="F154" s="148"/>
      <c r="G154" s="238"/>
      <c r="H154" s="239"/>
    </row>
    <row r="155" spans="1:8" s="11" customFormat="1" ht="15" customHeight="1" x14ac:dyDescent="0.2">
      <c r="A155" s="360" t="s">
        <v>766</v>
      </c>
      <c r="B155" s="93">
        <v>92865</v>
      </c>
      <c r="C155" s="251" t="s">
        <v>89</v>
      </c>
      <c r="D155" s="95" t="s">
        <v>238</v>
      </c>
      <c r="E155" s="251" t="s">
        <v>4</v>
      </c>
      <c r="F155" s="4">
        <v>10</v>
      </c>
      <c r="G155" s="92">
        <v>8.74</v>
      </c>
      <c r="H155" s="31">
        <f>TRUNC(G155*F155,2)</f>
        <v>87.4</v>
      </c>
    </row>
    <row r="156" spans="1:8" s="11" customFormat="1" ht="15" customHeight="1" x14ac:dyDescent="0.2">
      <c r="A156" s="360" t="s">
        <v>767</v>
      </c>
      <c r="B156" s="251">
        <v>91939</v>
      </c>
      <c r="C156" s="251" t="s">
        <v>89</v>
      </c>
      <c r="D156" s="95" t="s">
        <v>251</v>
      </c>
      <c r="E156" s="251" t="s">
        <v>4</v>
      </c>
      <c r="F156" s="4">
        <v>3</v>
      </c>
      <c r="G156" s="92">
        <v>25.79</v>
      </c>
      <c r="H156" s="31">
        <f t="shared" ref="H156:H176" si="16">TRUNC(G156*F156,2)</f>
        <v>77.37</v>
      </c>
    </row>
    <row r="157" spans="1:8" s="11" customFormat="1" ht="15" customHeight="1" x14ac:dyDescent="0.2">
      <c r="A157" s="360" t="s">
        <v>768</v>
      </c>
      <c r="B157" s="93">
        <v>91940</v>
      </c>
      <c r="C157" s="251" t="s">
        <v>89</v>
      </c>
      <c r="D157" s="95" t="s">
        <v>250</v>
      </c>
      <c r="E157" s="251" t="s">
        <v>4</v>
      </c>
      <c r="F157" s="4">
        <v>14</v>
      </c>
      <c r="G157" s="92">
        <v>13.48</v>
      </c>
      <c r="H157" s="31">
        <f t="shared" si="16"/>
        <v>188.72</v>
      </c>
    </row>
    <row r="158" spans="1:8" s="11" customFormat="1" ht="15" customHeight="1" x14ac:dyDescent="0.2">
      <c r="A158" s="360" t="s">
        <v>769</v>
      </c>
      <c r="B158" s="93">
        <v>91941</v>
      </c>
      <c r="C158" s="251" t="s">
        <v>89</v>
      </c>
      <c r="D158" s="95" t="s">
        <v>252</v>
      </c>
      <c r="E158" s="251" t="s">
        <v>4</v>
      </c>
      <c r="F158" s="4">
        <v>9</v>
      </c>
      <c r="G158" s="92">
        <v>8.85</v>
      </c>
      <c r="H158" s="31">
        <f t="shared" si="16"/>
        <v>79.650000000000006</v>
      </c>
    </row>
    <row r="159" spans="1:8" s="11" customFormat="1" ht="15" customHeight="1" x14ac:dyDescent="0.2">
      <c r="A159" s="360" t="s">
        <v>770</v>
      </c>
      <c r="B159" s="217">
        <v>151402</v>
      </c>
      <c r="C159" s="4" t="s">
        <v>43</v>
      </c>
      <c r="D159" s="245" t="s">
        <v>269</v>
      </c>
      <c r="E159" s="4" t="s">
        <v>5</v>
      </c>
      <c r="F159" s="4">
        <v>198.89</v>
      </c>
      <c r="G159" s="92">
        <v>5.44</v>
      </c>
      <c r="H159" s="31">
        <f t="shared" si="16"/>
        <v>1081.96</v>
      </c>
    </row>
    <row r="160" spans="1:8" s="11" customFormat="1" ht="15" customHeight="1" x14ac:dyDescent="0.2">
      <c r="A160" s="360" t="s">
        <v>771</v>
      </c>
      <c r="B160" s="217">
        <v>151403</v>
      </c>
      <c r="C160" s="4" t="s">
        <v>43</v>
      </c>
      <c r="D160" s="245" t="s">
        <v>270</v>
      </c>
      <c r="E160" s="4" t="s">
        <v>5</v>
      </c>
      <c r="F160" s="4">
        <v>402.82</v>
      </c>
      <c r="G160" s="92">
        <v>6.61</v>
      </c>
      <c r="H160" s="31">
        <f t="shared" si="16"/>
        <v>2662.64</v>
      </c>
    </row>
    <row r="161" spans="1:8" s="11" customFormat="1" ht="15" customHeight="1" x14ac:dyDescent="0.2">
      <c r="A161" s="360" t="s">
        <v>772</v>
      </c>
      <c r="B161" s="217">
        <v>151406</v>
      </c>
      <c r="C161" s="4" t="s">
        <v>43</v>
      </c>
      <c r="D161" s="245" t="s">
        <v>271</v>
      </c>
      <c r="E161" s="4" t="s">
        <v>5</v>
      </c>
      <c r="F161" s="4">
        <v>2.04</v>
      </c>
      <c r="G161" s="92">
        <v>14.44</v>
      </c>
      <c r="H161" s="31">
        <f t="shared" si="16"/>
        <v>29.45</v>
      </c>
    </row>
    <row r="162" spans="1:8" s="11" customFormat="1" ht="15" customHeight="1" x14ac:dyDescent="0.2">
      <c r="A162" s="360" t="s">
        <v>773</v>
      </c>
      <c r="B162" s="316">
        <v>151426</v>
      </c>
      <c r="C162" s="4" t="s">
        <v>43</v>
      </c>
      <c r="D162" s="246" t="s">
        <v>493</v>
      </c>
      <c r="E162" s="4" t="s">
        <v>5</v>
      </c>
      <c r="F162" s="4">
        <v>23</v>
      </c>
      <c r="G162" s="92">
        <v>66.44</v>
      </c>
      <c r="H162" s="31">
        <f t="shared" si="16"/>
        <v>1528.12</v>
      </c>
    </row>
    <row r="163" spans="1:8" s="11" customFormat="1" ht="25.5" x14ac:dyDescent="0.2">
      <c r="A163" s="360" t="s">
        <v>774</v>
      </c>
      <c r="B163" s="217">
        <v>91854</v>
      </c>
      <c r="C163" s="4" t="s">
        <v>89</v>
      </c>
      <c r="D163" s="246" t="s">
        <v>272</v>
      </c>
      <c r="E163" s="4" t="s">
        <v>5</v>
      </c>
      <c r="F163" s="4">
        <v>601.71</v>
      </c>
      <c r="G163" s="92">
        <v>8.15</v>
      </c>
      <c r="H163" s="31">
        <f t="shared" si="16"/>
        <v>4903.93</v>
      </c>
    </row>
    <row r="164" spans="1:8" s="11" customFormat="1" ht="25.5" x14ac:dyDescent="0.2">
      <c r="A164" s="360" t="s">
        <v>775</v>
      </c>
      <c r="B164" s="217">
        <v>91860</v>
      </c>
      <c r="C164" s="4" t="s">
        <v>89</v>
      </c>
      <c r="D164" s="246" t="s">
        <v>273</v>
      </c>
      <c r="E164" s="4" t="s">
        <v>5</v>
      </c>
      <c r="F164" s="4">
        <v>2.04</v>
      </c>
      <c r="G164" s="92">
        <v>12.68</v>
      </c>
      <c r="H164" s="31">
        <f t="shared" si="16"/>
        <v>25.86</v>
      </c>
    </row>
    <row r="165" spans="1:8" s="11" customFormat="1" ht="12.75" x14ac:dyDescent="0.2">
      <c r="A165" s="360" t="s">
        <v>776</v>
      </c>
      <c r="B165" s="346">
        <v>151130</v>
      </c>
      <c r="C165" s="4" t="s">
        <v>43</v>
      </c>
      <c r="D165" s="246" t="s">
        <v>608</v>
      </c>
      <c r="E165" s="4" t="s">
        <v>5</v>
      </c>
      <c r="F165" s="4">
        <v>4.96</v>
      </c>
      <c r="G165" s="92">
        <v>36.21</v>
      </c>
      <c r="H165" s="31">
        <f t="shared" si="16"/>
        <v>179.6</v>
      </c>
    </row>
    <row r="166" spans="1:8" s="11" customFormat="1" ht="25.5" x14ac:dyDescent="0.2">
      <c r="A166" s="360" t="s">
        <v>777</v>
      </c>
      <c r="B166" s="316">
        <v>151302</v>
      </c>
      <c r="C166" s="4" t="s">
        <v>43</v>
      </c>
      <c r="D166" s="246" t="s">
        <v>494</v>
      </c>
      <c r="E166" s="4" t="s">
        <v>4</v>
      </c>
      <c r="F166" s="4">
        <v>4</v>
      </c>
      <c r="G166" s="92">
        <v>19.12</v>
      </c>
      <c r="H166" s="31">
        <f t="shared" si="16"/>
        <v>76.48</v>
      </c>
    </row>
    <row r="167" spans="1:8" s="11" customFormat="1" ht="12.75" x14ac:dyDescent="0.2">
      <c r="A167" s="360" t="s">
        <v>778</v>
      </c>
      <c r="B167" s="316">
        <v>151307</v>
      </c>
      <c r="C167" s="4" t="s">
        <v>43</v>
      </c>
      <c r="D167" s="245" t="s">
        <v>495</v>
      </c>
      <c r="E167" s="4" t="s">
        <v>4</v>
      </c>
      <c r="F167" s="4">
        <v>1</v>
      </c>
      <c r="G167" s="92">
        <v>55.54</v>
      </c>
      <c r="H167" s="31">
        <f t="shared" si="16"/>
        <v>55.54</v>
      </c>
    </row>
    <row r="168" spans="1:8" s="11" customFormat="1" ht="12.75" x14ac:dyDescent="0.2">
      <c r="A168" s="360" t="s">
        <v>779</v>
      </c>
      <c r="B168" s="316">
        <v>151321</v>
      </c>
      <c r="C168" s="4" t="s">
        <v>43</v>
      </c>
      <c r="D168" s="245" t="s">
        <v>496</v>
      </c>
      <c r="E168" s="4" t="s">
        <v>4</v>
      </c>
      <c r="F168" s="4">
        <v>2</v>
      </c>
      <c r="G168" s="92">
        <v>55.54</v>
      </c>
      <c r="H168" s="31">
        <f t="shared" si="16"/>
        <v>111.08</v>
      </c>
    </row>
    <row r="169" spans="1:8" s="11" customFormat="1" ht="12.75" customHeight="1" x14ac:dyDescent="0.2">
      <c r="A169" s="360" t="s">
        <v>780</v>
      </c>
      <c r="B169" s="316">
        <v>151328</v>
      </c>
      <c r="C169" s="4" t="s">
        <v>43</v>
      </c>
      <c r="D169" s="246" t="s">
        <v>497</v>
      </c>
      <c r="E169" s="4" t="s">
        <v>4</v>
      </c>
      <c r="F169" s="4">
        <v>6</v>
      </c>
      <c r="G169" s="92">
        <v>79.39</v>
      </c>
      <c r="H169" s="31">
        <f t="shared" si="16"/>
        <v>476.34</v>
      </c>
    </row>
    <row r="170" spans="1:8" s="11" customFormat="1" ht="15" customHeight="1" x14ac:dyDescent="0.2">
      <c r="A170" s="360" t="s">
        <v>781</v>
      </c>
      <c r="B170" s="316">
        <v>151330</v>
      </c>
      <c r="C170" s="4" t="s">
        <v>43</v>
      </c>
      <c r="D170" s="245" t="s">
        <v>498</v>
      </c>
      <c r="E170" s="4" t="s">
        <v>4</v>
      </c>
      <c r="F170" s="4">
        <v>1</v>
      </c>
      <c r="G170" s="92">
        <v>106.59</v>
      </c>
      <c r="H170" s="31">
        <f t="shared" si="16"/>
        <v>106.59</v>
      </c>
    </row>
    <row r="171" spans="1:8" s="11" customFormat="1" ht="27" customHeight="1" x14ac:dyDescent="0.2">
      <c r="A171" s="360" t="s">
        <v>782</v>
      </c>
      <c r="B171" s="316">
        <v>151334</v>
      </c>
      <c r="C171" s="4" t="s">
        <v>43</v>
      </c>
      <c r="D171" s="246" t="s">
        <v>499</v>
      </c>
      <c r="E171" s="4" t="s">
        <v>4</v>
      </c>
      <c r="F171" s="4">
        <v>2</v>
      </c>
      <c r="G171" s="92">
        <v>1701.09</v>
      </c>
      <c r="H171" s="31">
        <f t="shared" si="16"/>
        <v>3402.18</v>
      </c>
    </row>
    <row r="172" spans="1:8" s="11" customFormat="1" ht="12.75" x14ac:dyDescent="0.2">
      <c r="A172" s="360" t="s">
        <v>783</v>
      </c>
      <c r="B172" s="552" t="s">
        <v>550</v>
      </c>
      <c r="C172" s="553"/>
      <c r="D172" s="246" t="s">
        <v>604</v>
      </c>
      <c r="E172" s="4" t="s">
        <v>4</v>
      </c>
      <c r="F172" s="4">
        <v>1</v>
      </c>
      <c r="G172" s="92">
        <v>90.54</v>
      </c>
      <c r="H172" s="31">
        <f t="shared" si="16"/>
        <v>90.54</v>
      </c>
    </row>
    <row r="173" spans="1:8" s="11" customFormat="1" ht="29.25" customHeight="1" x14ac:dyDescent="0.2">
      <c r="A173" s="360" t="s">
        <v>784</v>
      </c>
      <c r="B173" s="316">
        <v>151901</v>
      </c>
      <c r="C173" s="268" t="s">
        <v>43</v>
      </c>
      <c r="D173" s="246" t="s">
        <v>500</v>
      </c>
      <c r="E173" s="4" t="s">
        <v>4</v>
      </c>
      <c r="F173" s="4">
        <v>1</v>
      </c>
      <c r="G173" s="92">
        <v>417.53</v>
      </c>
      <c r="H173" s="31">
        <f t="shared" si="16"/>
        <v>417.53</v>
      </c>
    </row>
    <row r="174" spans="1:8" s="11" customFormat="1" ht="29.25" customHeight="1" x14ac:dyDescent="0.2">
      <c r="A174" s="360" t="s">
        <v>785</v>
      </c>
      <c r="B174" s="316">
        <v>151904</v>
      </c>
      <c r="C174" s="217" t="s">
        <v>43</v>
      </c>
      <c r="D174" s="246" t="s">
        <v>501</v>
      </c>
      <c r="E174" s="4" t="s">
        <v>4</v>
      </c>
      <c r="F174" s="4">
        <v>1</v>
      </c>
      <c r="G174" s="92">
        <v>659.65</v>
      </c>
      <c r="H174" s="31">
        <f t="shared" si="16"/>
        <v>659.65</v>
      </c>
    </row>
    <row r="175" spans="1:8" s="11" customFormat="1" ht="12.75" x14ac:dyDescent="0.2">
      <c r="A175" s="401" t="s">
        <v>786</v>
      </c>
      <c r="B175" s="552" t="s">
        <v>868</v>
      </c>
      <c r="C175" s="553"/>
      <c r="D175" s="246" t="s">
        <v>869</v>
      </c>
      <c r="E175" s="4" t="s">
        <v>4</v>
      </c>
      <c r="F175" s="4">
        <v>1</v>
      </c>
      <c r="G175" s="92">
        <v>595.67999999999995</v>
      </c>
      <c r="H175" s="31">
        <f t="shared" si="16"/>
        <v>595.67999999999995</v>
      </c>
    </row>
    <row r="176" spans="1:8" s="11" customFormat="1" ht="25.5" x14ac:dyDescent="0.2">
      <c r="A176" s="401" t="s">
        <v>872</v>
      </c>
      <c r="B176" s="217">
        <v>151710</v>
      </c>
      <c r="C176" s="217" t="s">
        <v>43</v>
      </c>
      <c r="D176" s="246" t="s">
        <v>277</v>
      </c>
      <c r="E176" s="4" t="s">
        <v>4</v>
      </c>
      <c r="F176" s="4">
        <v>1</v>
      </c>
      <c r="G176" s="92">
        <v>7936.31</v>
      </c>
      <c r="H176" s="31">
        <f t="shared" si="16"/>
        <v>7936.31</v>
      </c>
    </row>
    <row r="177" spans="1:8" s="11" customFormat="1" ht="15" customHeight="1" x14ac:dyDescent="0.2">
      <c r="A177" s="251"/>
      <c r="B177" s="217"/>
      <c r="C177" s="251"/>
      <c r="D177" s="101" t="s">
        <v>115</v>
      </c>
      <c r="E177" s="100"/>
      <c r="F177" s="102"/>
      <c r="G177" s="103"/>
      <c r="H177" s="104">
        <f>SUM(H142:H176)</f>
        <v>30700.450000000004</v>
      </c>
    </row>
    <row r="178" spans="1:8" s="11" customFormat="1" ht="15" customHeight="1" x14ac:dyDescent="0.2">
      <c r="A178" s="535"/>
      <c r="B178" s="550"/>
      <c r="C178" s="550"/>
      <c r="D178" s="550"/>
      <c r="E178" s="550"/>
      <c r="F178" s="550"/>
      <c r="G178" s="550"/>
      <c r="H178" s="536"/>
    </row>
    <row r="179" spans="1:8" s="11" customFormat="1" ht="15" customHeight="1" x14ac:dyDescent="0.2">
      <c r="A179" s="208" t="s">
        <v>787</v>
      </c>
      <c r="B179" s="147"/>
      <c r="C179" s="147"/>
      <c r="D179" s="166" t="s">
        <v>95</v>
      </c>
      <c r="E179" s="147"/>
      <c r="F179" s="148"/>
      <c r="G179" s="238"/>
      <c r="H179" s="238"/>
    </row>
    <row r="180" spans="1:8" s="11" customFormat="1" ht="15" customHeight="1" x14ac:dyDescent="0.2">
      <c r="A180" s="91" t="s">
        <v>788</v>
      </c>
      <c r="B180" s="252">
        <v>88486</v>
      </c>
      <c r="C180" s="251" t="s">
        <v>89</v>
      </c>
      <c r="D180" s="97" t="s">
        <v>96</v>
      </c>
      <c r="E180" s="252" t="s">
        <v>6</v>
      </c>
      <c r="F180" s="35">
        <v>17.100000000000001</v>
      </c>
      <c r="G180" s="38">
        <v>12.34</v>
      </c>
      <c r="H180" s="31">
        <f>TRUNC(F180*G180,2)</f>
        <v>211.01</v>
      </c>
    </row>
    <row r="181" spans="1:8" s="11" customFormat="1" ht="15" customHeight="1" x14ac:dyDescent="0.2">
      <c r="A181" s="91" t="s">
        <v>789</v>
      </c>
      <c r="B181" s="93">
        <v>88489</v>
      </c>
      <c r="C181" s="251" t="s">
        <v>89</v>
      </c>
      <c r="D181" s="97" t="s">
        <v>97</v>
      </c>
      <c r="E181" s="252" t="s">
        <v>6</v>
      </c>
      <c r="F181" s="35">
        <v>243.06</v>
      </c>
      <c r="G181" s="94">
        <v>13.98</v>
      </c>
      <c r="H181" s="31">
        <f t="shared" ref="H181:H183" si="17">TRUNC(F181*G181,2)</f>
        <v>3397.97</v>
      </c>
    </row>
    <row r="182" spans="1:8" s="11" customFormat="1" ht="15" customHeight="1" x14ac:dyDescent="0.2">
      <c r="A182" s="91" t="s">
        <v>790</v>
      </c>
      <c r="B182" s="93">
        <v>95626</v>
      </c>
      <c r="C182" s="251" t="s">
        <v>89</v>
      </c>
      <c r="D182" s="97" t="s">
        <v>117</v>
      </c>
      <c r="E182" s="252" t="s">
        <v>6</v>
      </c>
      <c r="F182" s="35">
        <v>126.5</v>
      </c>
      <c r="G182" s="94">
        <v>15.4</v>
      </c>
      <c r="H182" s="31">
        <f t="shared" si="17"/>
        <v>1948.1</v>
      </c>
    </row>
    <row r="183" spans="1:8" s="11" customFormat="1" ht="25.5" x14ac:dyDescent="0.2">
      <c r="A183" s="91" t="s">
        <v>791</v>
      </c>
      <c r="B183" s="93">
        <v>190306</v>
      </c>
      <c r="C183" s="251" t="s">
        <v>43</v>
      </c>
      <c r="D183" s="98" t="s">
        <v>126</v>
      </c>
      <c r="E183" s="252" t="s">
        <v>6</v>
      </c>
      <c r="F183" s="35">
        <v>10.08</v>
      </c>
      <c r="G183" s="94">
        <v>23.23</v>
      </c>
      <c r="H183" s="31">
        <f t="shared" si="17"/>
        <v>234.15</v>
      </c>
    </row>
    <row r="184" spans="1:8" s="11" customFormat="1" ht="12.75" x14ac:dyDescent="0.2">
      <c r="A184" s="100"/>
      <c r="B184" s="100"/>
      <c r="C184" s="100"/>
      <c r="D184" s="101" t="s">
        <v>792</v>
      </c>
      <c r="E184" s="100"/>
      <c r="F184" s="102"/>
      <c r="G184" s="103"/>
      <c r="H184" s="104">
        <f>SUM(H180:H183)</f>
        <v>5791.23</v>
      </c>
    </row>
    <row r="185" spans="1:8" s="11" customFormat="1" ht="15" customHeight="1" x14ac:dyDescent="0.2">
      <c r="A185" s="535"/>
      <c r="B185" s="550"/>
      <c r="C185" s="550"/>
      <c r="D185" s="550"/>
      <c r="E185" s="550"/>
      <c r="F185" s="550"/>
      <c r="G185" s="550"/>
      <c r="H185" s="536"/>
    </row>
    <row r="186" spans="1:8" s="2" customFormat="1" ht="15" customHeight="1" x14ac:dyDescent="0.2">
      <c r="A186" s="165" t="s">
        <v>793</v>
      </c>
      <c r="B186" s="165"/>
      <c r="C186" s="165"/>
      <c r="D186" s="166" t="s">
        <v>146</v>
      </c>
      <c r="E186" s="165"/>
      <c r="F186" s="167"/>
      <c r="G186" s="73"/>
      <c r="H186" s="169"/>
    </row>
    <row r="187" spans="1:8" s="2" customFormat="1" ht="38.25" x14ac:dyDescent="0.2">
      <c r="A187" s="360" t="s">
        <v>794</v>
      </c>
      <c r="B187" s="533" t="s">
        <v>589</v>
      </c>
      <c r="C187" s="533"/>
      <c r="D187" s="174" t="s">
        <v>286</v>
      </c>
      <c r="E187" s="251" t="s">
        <v>4</v>
      </c>
      <c r="F187" s="4">
        <v>1</v>
      </c>
      <c r="G187" s="92">
        <v>2960.93</v>
      </c>
      <c r="H187" s="31">
        <f>TRUNC(G187*F187,2)</f>
        <v>2960.93</v>
      </c>
    </row>
    <row r="188" spans="1:8" s="2" customFormat="1" ht="25.5" customHeight="1" x14ac:dyDescent="0.2">
      <c r="A188" s="360" t="s">
        <v>795</v>
      </c>
      <c r="B188" s="251">
        <v>160607</v>
      </c>
      <c r="C188" s="251" t="s">
        <v>43</v>
      </c>
      <c r="D188" s="174" t="s">
        <v>189</v>
      </c>
      <c r="E188" s="251" t="s">
        <v>4</v>
      </c>
      <c r="F188" s="4">
        <v>2</v>
      </c>
      <c r="G188" s="92">
        <v>193.86</v>
      </c>
      <c r="H188" s="31">
        <f t="shared" ref="H188:H194" si="18">TRUNC(G188*F188,2)</f>
        <v>387.72</v>
      </c>
    </row>
    <row r="189" spans="1:8" s="2" customFormat="1" ht="25.5" customHeight="1" x14ac:dyDescent="0.2">
      <c r="A189" s="360" t="s">
        <v>796</v>
      </c>
      <c r="B189" s="533" t="s">
        <v>439</v>
      </c>
      <c r="C189" s="533"/>
      <c r="D189" s="98" t="s">
        <v>440</v>
      </c>
      <c r="E189" s="251" t="s">
        <v>4</v>
      </c>
      <c r="F189" s="4">
        <v>6</v>
      </c>
      <c r="G189" s="92">
        <v>28.34</v>
      </c>
      <c r="H189" s="31">
        <f t="shared" si="18"/>
        <v>170.04</v>
      </c>
    </row>
    <row r="190" spans="1:8" s="2" customFormat="1" ht="12.75" x14ac:dyDescent="0.2">
      <c r="A190" s="360" t="s">
        <v>797</v>
      </c>
      <c r="B190" s="533" t="s">
        <v>240</v>
      </c>
      <c r="C190" s="533"/>
      <c r="D190" s="98" t="s">
        <v>274</v>
      </c>
      <c r="E190" s="251" t="s">
        <v>4</v>
      </c>
      <c r="F190" s="4">
        <v>2</v>
      </c>
      <c r="G190" s="92">
        <v>38.82</v>
      </c>
      <c r="H190" s="31">
        <f t="shared" si="18"/>
        <v>77.64</v>
      </c>
    </row>
    <row r="191" spans="1:8" s="2" customFormat="1" ht="12.75" customHeight="1" x14ac:dyDescent="0.2">
      <c r="A191" s="360" t="s">
        <v>798</v>
      </c>
      <c r="B191" s="271">
        <v>210302</v>
      </c>
      <c r="C191" s="271" t="s">
        <v>43</v>
      </c>
      <c r="D191" s="98" t="s">
        <v>366</v>
      </c>
      <c r="E191" s="271" t="s">
        <v>5</v>
      </c>
      <c r="F191" s="4">
        <v>8.4600000000000009</v>
      </c>
      <c r="G191" s="92">
        <v>194.53</v>
      </c>
      <c r="H191" s="31">
        <f t="shared" si="18"/>
        <v>1645.72</v>
      </c>
    </row>
    <row r="192" spans="1:8" s="2" customFormat="1" ht="12.75" x14ac:dyDescent="0.2">
      <c r="A192" s="360" t="s">
        <v>799</v>
      </c>
      <c r="B192" s="253">
        <v>71105</v>
      </c>
      <c r="C192" s="253" t="s">
        <v>43</v>
      </c>
      <c r="D192" s="98" t="s">
        <v>314</v>
      </c>
      <c r="E192" s="253" t="s">
        <v>6</v>
      </c>
      <c r="F192" s="4">
        <v>5.88</v>
      </c>
      <c r="G192" s="92">
        <v>264.49</v>
      </c>
      <c r="H192" s="31">
        <f t="shared" si="18"/>
        <v>1555.2</v>
      </c>
    </row>
    <row r="193" spans="1:8" s="2" customFormat="1" ht="12.75" x14ac:dyDescent="0.2">
      <c r="A193" s="360" t="s">
        <v>800</v>
      </c>
      <c r="B193" s="253">
        <v>71107</v>
      </c>
      <c r="C193" s="253" t="s">
        <v>43</v>
      </c>
      <c r="D193" s="98" t="s">
        <v>315</v>
      </c>
      <c r="E193" s="253" t="s">
        <v>6</v>
      </c>
      <c r="F193" s="4">
        <v>2.5299999999999998</v>
      </c>
      <c r="G193" s="92">
        <v>620.23</v>
      </c>
      <c r="H193" s="31">
        <f t="shared" si="18"/>
        <v>1569.18</v>
      </c>
    </row>
    <row r="194" spans="1:8" s="2" customFormat="1" ht="12.75" x14ac:dyDescent="0.2">
      <c r="A194" s="390"/>
      <c r="B194" s="389">
        <v>200401</v>
      </c>
      <c r="C194" s="389" t="s">
        <v>43</v>
      </c>
      <c r="D194" s="98" t="s">
        <v>835</v>
      </c>
      <c r="E194" s="389" t="s">
        <v>6</v>
      </c>
      <c r="F194" s="4">
        <v>219.42</v>
      </c>
      <c r="G194" s="92">
        <v>9.98</v>
      </c>
      <c r="H194" s="31">
        <f t="shared" si="18"/>
        <v>2189.81</v>
      </c>
    </row>
    <row r="195" spans="1:8" s="2" customFormat="1" ht="15" customHeight="1" x14ac:dyDescent="0.2">
      <c r="A195" s="393"/>
      <c r="B195" s="269"/>
      <c r="C195" s="269"/>
      <c r="D195" s="101" t="s">
        <v>125</v>
      </c>
      <c r="E195" s="100"/>
      <c r="F195" s="102"/>
      <c r="G195" s="103"/>
      <c r="H195" s="104">
        <f>SUM(H187:H194)</f>
        <v>10556.239999999998</v>
      </c>
    </row>
    <row r="196" spans="1:8" s="2" customFormat="1" ht="12.75" x14ac:dyDescent="0.2">
      <c r="A196" s="531" t="s">
        <v>76</v>
      </c>
      <c r="B196" s="531"/>
      <c r="C196" s="531"/>
      <c r="D196" s="531"/>
      <c r="E196" s="531"/>
      <c r="F196" s="531"/>
      <c r="G196" s="531"/>
      <c r="H196" s="73">
        <f>SUM(H14,H59,H69,H76,H83,H87,H96,H103,H138,H177,H195,H184)</f>
        <v>274574.78999999998</v>
      </c>
    </row>
    <row r="197" spans="1:8" s="2" customFormat="1" ht="15" customHeight="1" x14ac:dyDescent="0.2">
      <c r="A197" s="75"/>
      <c r="B197" s="74"/>
      <c r="C197" s="75"/>
      <c r="D197" s="76"/>
      <c r="E197" s="75"/>
      <c r="F197" s="78"/>
      <c r="G197" s="79"/>
      <c r="H197" s="77"/>
    </row>
    <row r="198" spans="1:8" s="10" customFormat="1" ht="12.75" x14ac:dyDescent="0.2">
      <c r="A198" s="80"/>
      <c r="B198" s="80"/>
      <c r="C198" s="80"/>
      <c r="D198" s="81"/>
      <c r="E198" s="80"/>
      <c r="F198" s="82"/>
      <c r="G198" s="83"/>
      <c r="H198" s="84"/>
    </row>
    <row r="199" spans="1:8" s="10" customFormat="1" ht="12.75" x14ac:dyDescent="0.2">
      <c r="A199" s="80"/>
      <c r="B199" s="80"/>
      <c r="C199" s="80"/>
      <c r="D199" s="81"/>
      <c r="E199" s="80"/>
      <c r="F199" s="82"/>
      <c r="G199" s="83"/>
      <c r="H199" s="84"/>
    </row>
    <row r="200" spans="1:8" s="2" customFormat="1" ht="15" customHeight="1" x14ac:dyDescent="0.2">
      <c r="A200" s="527"/>
      <c r="B200" s="527"/>
      <c r="C200" s="527"/>
      <c r="D200" s="527"/>
      <c r="E200" s="527"/>
      <c r="F200" s="527"/>
      <c r="G200" s="527"/>
      <c r="H200" s="83"/>
    </row>
    <row r="201" spans="1:8" s="2" customFormat="1" ht="15" customHeight="1" x14ac:dyDescent="0.2">
      <c r="A201" s="85"/>
      <c r="B201" s="85"/>
      <c r="C201" s="85"/>
      <c r="D201" s="86"/>
      <c r="E201" s="85"/>
      <c r="F201" s="85"/>
      <c r="G201" s="87"/>
      <c r="H201" s="88"/>
    </row>
    <row r="202" spans="1:8" s="2" customFormat="1" ht="20.100000000000001" customHeight="1" x14ac:dyDescent="0.2">
      <c r="A202" s="85"/>
      <c r="B202" s="85"/>
      <c r="C202" s="85"/>
      <c r="D202" s="86"/>
      <c r="E202" s="85"/>
      <c r="F202" s="85"/>
      <c r="G202" s="87"/>
      <c r="H202" s="88"/>
    </row>
    <row r="203" spans="1:8" ht="15" customHeight="1" x14ac:dyDescent="0.2">
      <c r="A203" s="11" t="s">
        <v>7</v>
      </c>
    </row>
    <row r="204" spans="1:8" ht="15" customHeight="1" x14ac:dyDescent="0.2">
      <c r="A204" s="10"/>
    </row>
    <row r="206" spans="1:8" ht="15" customHeight="1" x14ac:dyDescent="0.2">
      <c r="A206" s="11" t="s">
        <v>7</v>
      </c>
      <c r="B206" s="10"/>
      <c r="C206" s="10"/>
      <c r="D206" s="12"/>
      <c r="E206" s="10"/>
      <c r="F206" s="10"/>
      <c r="H206" s="3"/>
    </row>
  </sheetData>
  <mergeCells count="73">
    <mergeCell ref="E8:H8"/>
    <mergeCell ref="B8:C8"/>
    <mergeCell ref="B16:C16"/>
    <mergeCell ref="E16:H16"/>
    <mergeCell ref="E61:H61"/>
    <mergeCell ref="B61:C61"/>
    <mergeCell ref="B44:C44"/>
    <mergeCell ref="B39:C39"/>
    <mergeCell ref="B48:C48"/>
    <mergeCell ref="B28:C28"/>
    <mergeCell ref="B34:C34"/>
    <mergeCell ref="A15:H15"/>
    <mergeCell ref="B17:C17"/>
    <mergeCell ref="B23:C23"/>
    <mergeCell ref="B50:C50"/>
    <mergeCell ref="B55:C55"/>
    <mergeCell ref="B190:C190"/>
    <mergeCell ref="B152:C152"/>
    <mergeCell ref="B141:C141"/>
    <mergeCell ref="B172:C172"/>
    <mergeCell ref="A178:H178"/>
    <mergeCell ref="A185:H185"/>
    <mergeCell ref="B175:C175"/>
    <mergeCell ref="B102:C102"/>
    <mergeCell ref="B53:C53"/>
    <mergeCell ref="B140:C140"/>
    <mergeCell ref="B154:C154"/>
    <mergeCell ref="B135:C135"/>
    <mergeCell ref="B136:C136"/>
    <mergeCell ref="B137:C137"/>
    <mergeCell ref="B67:C67"/>
    <mergeCell ref="A60:H60"/>
    <mergeCell ref="A70:H70"/>
    <mergeCell ref="A77:H77"/>
    <mergeCell ref="A84:H84"/>
    <mergeCell ref="A88:H88"/>
    <mergeCell ref="A97:H97"/>
    <mergeCell ref="A104:H104"/>
    <mergeCell ref="A139:H139"/>
    <mergeCell ref="A200:G200"/>
    <mergeCell ref="A6:A7"/>
    <mergeCell ref="B6:B7"/>
    <mergeCell ref="C6:C7"/>
    <mergeCell ref="D6:D7"/>
    <mergeCell ref="E6:E7"/>
    <mergeCell ref="F6:F7"/>
    <mergeCell ref="G6:H6"/>
    <mergeCell ref="A196:G196"/>
    <mergeCell ref="B68:C68"/>
    <mergeCell ref="B130:C130"/>
    <mergeCell ref="B189:C189"/>
    <mergeCell ref="B142:C142"/>
    <mergeCell ref="B143:C143"/>
    <mergeCell ref="B187:C187"/>
    <mergeCell ref="B101:C101"/>
    <mergeCell ref="G1:H1"/>
    <mergeCell ref="A1:F1"/>
    <mergeCell ref="A4:B5"/>
    <mergeCell ref="E4:F4"/>
    <mergeCell ref="A2:D2"/>
    <mergeCell ref="C4:D4"/>
    <mergeCell ref="C5:D5"/>
    <mergeCell ref="E3:F3"/>
    <mergeCell ref="E5:G5"/>
    <mergeCell ref="G3:H3"/>
    <mergeCell ref="G4:H4"/>
    <mergeCell ref="A3:D3"/>
    <mergeCell ref="E71:H71"/>
    <mergeCell ref="E85:H85"/>
    <mergeCell ref="B85:C85"/>
    <mergeCell ref="E78:H78"/>
    <mergeCell ref="B78:C78"/>
    <mergeCell ref="B71:C71"/>
  </mergeCells>
  <phoneticPr fontId="45" type="noConversion"/>
  <printOptions horizontalCentered="1" gridLines="1"/>
  <pageMargins left="0.39370078740157483" right="0.39370078740157483" top="0.78740157480314965" bottom="0.55118110236220474" header="0" footer="0"/>
  <pageSetup paperSize="9" scale="74" fitToHeight="5" orientation="landscape" r:id="rId1"/>
  <headerFooter>
    <oddHeader>&amp;C&amp;G</oddHeader>
    <oddFooter>&amp;C&amp;"Arial,Negrito"Catarina Demoner Diniz&amp;"Arial,Normal"
&amp;"Arial,Itálico"&amp;8Engenheira Civil - CREA ES-0048118/D&amp;R&amp;"Arial,Negrito"Igor Alves Folador Dominicini
&amp;"Arial,Itálico"&amp;8Engenheiro Civil - CREA ES-043213/D</oddFooter>
  </headerFooter>
  <rowBreaks count="1" manualBreakCount="1">
    <brk id="60"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08"/>
  <sheetViews>
    <sheetView showGridLines="0" view="pageBreakPreview" topLeftCell="A25" zoomScaleNormal="80" zoomScaleSheetLayoutView="100" workbookViewId="0">
      <selection activeCell="G4" sqref="G4"/>
    </sheetView>
  </sheetViews>
  <sheetFormatPr defaultColWidth="10.7109375" defaultRowHeight="15" customHeight="1" x14ac:dyDescent="0.2"/>
  <cols>
    <col min="1" max="1" width="8.28515625" style="16" customWidth="1"/>
    <col min="2" max="2" width="85.7109375" style="131" customWidth="1"/>
    <col min="3" max="3" width="13.85546875" style="18" customWidth="1"/>
    <col min="4" max="5" width="12.140625" style="18" customWidth="1"/>
    <col min="6" max="10" width="10.7109375" style="18" customWidth="1"/>
    <col min="11" max="11" width="11.7109375" style="18" customWidth="1"/>
    <col min="12" max="12" width="10.7109375" style="18" customWidth="1"/>
    <col min="13" max="16384" width="10.7109375" style="16"/>
  </cols>
  <sheetData>
    <row r="1" spans="1:12" ht="15" customHeight="1" x14ac:dyDescent="0.2">
      <c r="A1" s="576" t="s">
        <v>86</v>
      </c>
      <c r="B1" s="517"/>
      <c r="C1" s="517"/>
      <c r="D1" s="517"/>
      <c r="E1" s="517"/>
      <c r="F1" s="517"/>
      <c r="G1" s="517"/>
      <c r="H1" s="517"/>
      <c r="I1" s="517"/>
      <c r="J1" s="517"/>
      <c r="K1" s="517"/>
      <c r="L1" s="577"/>
    </row>
    <row r="2" spans="1:12" ht="15" customHeight="1" x14ac:dyDescent="0.2">
      <c r="A2" s="578" t="s">
        <v>807</v>
      </c>
      <c r="B2" s="521"/>
      <c r="C2" s="17"/>
      <c r="D2" s="17"/>
      <c r="E2" s="17"/>
      <c r="F2" s="17"/>
      <c r="G2" s="17"/>
      <c r="H2" s="17"/>
      <c r="I2" s="17"/>
      <c r="J2" s="17"/>
      <c r="K2" s="105"/>
      <c r="L2" s="105"/>
    </row>
    <row r="3" spans="1:12" ht="15" customHeight="1" x14ac:dyDescent="0.2">
      <c r="A3" s="578" t="s">
        <v>859</v>
      </c>
      <c r="B3" s="521"/>
      <c r="C3" s="17"/>
      <c r="D3" s="17"/>
      <c r="E3" s="17"/>
      <c r="F3" s="17"/>
      <c r="G3" s="579" t="s">
        <v>875</v>
      </c>
      <c r="H3" s="579"/>
      <c r="I3" s="579"/>
      <c r="J3" s="579"/>
      <c r="K3" s="579"/>
      <c r="L3" s="580"/>
    </row>
    <row r="4" spans="1:12" s="18" customFormat="1" ht="15" customHeight="1" x14ac:dyDescent="0.2">
      <c r="A4" s="581" t="s">
        <v>81</v>
      </c>
      <c r="B4" s="582"/>
      <c r="C4" s="17"/>
      <c r="D4" s="17"/>
      <c r="E4" s="17"/>
      <c r="F4" s="17"/>
      <c r="G4" s="17"/>
      <c r="H4" s="17"/>
      <c r="I4" s="17"/>
      <c r="J4" s="17"/>
      <c r="K4" s="105"/>
      <c r="L4" s="105"/>
    </row>
    <row r="5" spans="1:12" s="18" customFormat="1" ht="15" customHeight="1" x14ac:dyDescent="0.2">
      <c r="A5" s="583"/>
      <c r="B5" s="584"/>
      <c r="C5" s="17"/>
      <c r="D5" s="17"/>
      <c r="E5" s="17"/>
      <c r="F5" s="17"/>
      <c r="G5" s="17"/>
      <c r="H5" s="17"/>
      <c r="I5" s="17"/>
      <c r="J5" s="17"/>
      <c r="K5" s="105"/>
      <c r="L5" s="105"/>
    </row>
    <row r="6" spans="1:12" s="19" customFormat="1" ht="12.75" x14ac:dyDescent="0.2">
      <c r="A6" s="585" t="s">
        <v>1</v>
      </c>
      <c r="B6" s="587" t="s">
        <v>3</v>
      </c>
      <c r="C6" s="589" t="s">
        <v>9</v>
      </c>
      <c r="D6" s="591" t="s">
        <v>82</v>
      </c>
      <c r="E6" s="591" t="s">
        <v>83</v>
      </c>
      <c r="F6" s="591" t="s">
        <v>480</v>
      </c>
      <c r="G6" s="591" t="s">
        <v>84</v>
      </c>
      <c r="H6" s="591" t="s">
        <v>85</v>
      </c>
      <c r="I6" s="591" t="s">
        <v>460</v>
      </c>
      <c r="J6" s="591" t="s">
        <v>461</v>
      </c>
      <c r="K6" s="589" t="s">
        <v>8</v>
      </c>
      <c r="L6" s="593" t="s">
        <v>29</v>
      </c>
    </row>
    <row r="7" spans="1:12" s="19" customFormat="1" ht="12.75" x14ac:dyDescent="0.2">
      <c r="A7" s="586"/>
      <c r="B7" s="588"/>
      <c r="C7" s="590"/>
      <c r="D7" s="592"/>
      <c r="E7" s="592"/>
      <c r="F7" s="592"/>
      <c r="G7" s="592"/>
      <c r="H7" s="592"/>
      <c r="I7" s="592"/>
      <c r="J7" s="592"/>
      <c r="K7" s="590"/>
      <c r="L7" s="594"/>
    </row>
    <row r="8" spans="1:12" s="199" customFormat="1" ht="12.75" x14ac:dyDescent="0.2">
      <c r="A8" s="200" t="s">
        <v>321</v>
      </c>
      <c r="B8" s="201" t="str">
        <f>'Planilha Orçamentária'!D8</f>
        <v>SERVIÇOS PRELIMINARES</v>
      </c>
      <c r="C8" s="194"/>
      <c r="D8" s="195"/>
      <c r="E8" s="196"/>
      <c r="F8" s="196"/>
      <c r="G8" s="196"/>
      <c r="H8" s="196"/>
      <c r="I8" s="196"/>
      <c r="J8" s="196"/>
      <c r="K8" s="197"/>
      <c r="L8" s="198"/>
    </row>
    <row r="9" spans="1:12" s="19" customFormat="1" ht="12.75" x14ac:dyDescent="0.2">
      <c r="A9" s="205" t="s">
        <v>322</v>
      </c>
      <c r="B9" s="573" t="str">
        <f>'Planilha Orçamentária'!D9</f>
        <v>Placa de obra nas dimensões de 2.0 x 4.0 m, padrão PMI</v>
      </c>
      <c r="C9" s="574"/>
      <c r="D9" s="574"/>
      <c r="E9" s="574"/>
      <c r="F9" s="574"/>
      <c r="G9" s="574"/>
      <c r="H9" s="574"/>
      <c r="I9" s="574"/>
      <c r="J9" s="574"/>
      <c r="K9" s="575"/>
      <c r="L9" s="193"/>
    </row>
    <row r="10" spans="1:12" s="19" customFormat="1" ht="12.75" x14ac:dyDescent="0.2">
      <c r="A10" s="374"/>
      <c r="B10" s="204" t="s">
        <v>820</v>
      </c>
      <c r="C10" s="41">
        <v>1</v>
      </c>
      <c r="D10" s="162">
        <v>4</v>
      </c>
      <c r="E10" s="162">
        <v>2</v>
      </c>
      <c r="F10" s="162"/>
      <c r="G10" s="162"/>
      <c r="H10" s="162"/>
      <c r="I10" s="162"/>
      <c r="J10" s="162"/>
      <c r="K10" s="145">
        <f>TRUNC(E10*D10,2)</f>
        <v>8</v>
      </c>
      <c r="L10" s="203"/>
    </row>
    <row r="11" spans="1:12" s="19" customFormat="1" ht="12.75" x14ac:dyDescent="0.2">
      <c r="A11" s="374"/>
      <c r="B11" s="115" t="s">
        <v>9</v>
      </c>
      <c r="C11" s="116"/>
      <c r="D11" s="117"/>
      <c r="E11" s="117"/>
      <c r="F11" s="117"/>
      <c r="G11" s="117"/>
      <c r="H11" s="117"/>
      <c r="I11" s="117"/>
      <c r="J11" s="117"/>
      <c r="K11" s="118">
        <f>K10</f>
        <v>8</v>
      </c>
      <c r="L11" s="119" t="s">
        <v>6</v>
      </c>
    </row>
    <row r="12" spans="1:12" s="19" customFormat="1" ht="12.75" x14ac:dyDescent="0.2">
      <c r="A12" s="374"/>
      <c r="B12" s="221"/>
      <c r="C12" s="23"/>
      <c r="D12" s="25"/>
      <c r="E12" s="25"/>
      <c r="F12" s="25"/>
      <c r="G12" s="25"/>
      <c r="H12" s="25"/>
      <c r="I12" s="25"/>
      <c r="J12" s="25"/>
      <c r="K12" s="121"/>
      <c r="L12" s="109"/>
    </row>
    <row r="13" spans="1:12" s="19" customFormat="1" ht="24" customHeight="1" x14ac:dyDescent="0.2">
      <c r="A13" s="374" t="s">
        <v>323</v>
      </c>
      <c r="B13" s="573" t="str">
        <f>'Planilha Orçamentária'!D10</f>
        <v>Aluguel mensal container para almoxarifado, incl. porta, 2 janelas, 1 pt iluminação, Isolamento térmico (teto), piso em
comp. Naval pintado, cert. NR18, incl. laudo descontaminação.</v>
      </c>
      <c r="C13" s="574"/>
      <c r="D13" s="574"/>
      <c r="E13" s="574"/>
      <c r="F13" s="400"/>
      <c r="G13" s="284"/>
      <c r="H13" s="284"/>
      <c r="I13" s="284"/>
      <c r="J13" s="284"/>
      <c r="K13" s="285"/>
      <c r="L13" s="193"/>
    </row>
    <row r="14" spans="1:12" s="19" customFormat="1" ht="15" customHeight="1" x14ac:dyDescent="0.2">
      <c r="A14" s="374"/>
      <c r="B14" s="204" t="s">
        <v>821</v>
      </c>
      <c r="C14" s="41">
        <v>5</v>
      </c>
      <c r="D14" s="162"/>
      <c r="E14" s="162"/>
      <c r="F14" s="162"/>
      <c r="G14" s="162"/>
      <c r="H14" s="162"/>
      <c r="I14" s="162"/>
      <c r="J14" s="162"/>
      <c r="K14" s="145">
        <f>C14</f>
        <v>5</v>
      </c>
      <c r="L14" s="203"/>
    </row>
    <row r="15" spans="1:12" s="19" customFormat="1" ht="15" customHeight="1" x14ac:dyDescent="0.2">
      <c r="A15" s="374"/>
      <c r="B15" s="115" t="s">
        <v>9</v>
      </c>
      <c r="C15" s="116"/>
      <c r="D15" s="117"/>
      <c r="E15" s="117"/>
      <c r="F15" s="117"/>
      <c r="G15" s="117"/>
      <c r="H15" s="117"/>
      <c r="I15" s="117"/>
      <c r="J15" s="117"/>
      <c r="K15" s="118">
        <f>K14</f>
        <v>5</v>
      </c>
      <c r="L15" s="119" t="s">
        <v>625</v>
      </c>
    </row>
    <row r="16" spans="1:12" s="19" customFormat="1" ht="15" customHeight="1" x14ac:dyDescent="0.2">
      <c r="A16" s="374"/>
      <c r="B16" s="221"/>
      <c r="C16" s="23"/>
      <c r="D16" s="25"/>
      <c r="E16" s="25"/>
      <c r="F16" s="25"/>
      <c r="G16" s="25"/>
      <c r="H16" s="25"/>
      <c r="I16" s="25"/>
      <c r="J16" s="25"/>
      <c r="K16" s="121"/>
      <c r="L16" s="109"/>
    </row>
    <row r="17" spans="1:13" s="19" customFormat="1" ht="12.75" x14ac:dyDescent="0.2">
      <c r="A17" s="374" t="s">
        <v>324</v>
      </c>
      <c r="B17" s="573" t="str">
        <f>'Planilha Orçamentária'!D11</f>
        <v>Capina e limpeza manual de terreno</v>
      </c>
      <c r="C17" s="574"/>
      <c r="D17" s="574"/>
      <c r="E17" s="574"/>
      <c r="F17" s="574"/>
      <c r="G17" s="574"/>
      <c r="H17" s="574"/>
      <c r="I17" s="574"/>
      <c r="J17" s="574"/>
      <c r="K17" s="575"/>
      <c r="L17" s="193"/>
    </row>
    <row r="18" spans="1:13" s="19" customFormat="1" ht="12.75" x14ac:dyDescent="0.2">
      <c r="A18" s="374"/>
      <c r="B18" s="204" t="s">
        <v>822</v>
      </c>
      <c r="C18" s="41">
        <v>1</v>
      </c>
      <c r="D18" s="162">
        <v>16.75</v>
      </c>
      <c r="E18" s="162">
        <v>13.1</v>
      </c>
      <c r="F18" s="162"/>
      <c r="G18" s="162">
        <f>TRUNC(E18*D18,2)</f>
        <v>219.42</v>
      </c>
      <c r="H18" s="162"/>
      <c r="I18" s="162"/>
      <c r="J18" s="162"/>
      <c r="K18" s="145">
        <f>G18</f>
        <v>219.42</v>
      </c>
      <c r="L18" s="203"/>
    </row>
    <row r="19" spans="1:13" s="19" customFormat="1" ht="12.75" x14ac:dyDescent="0.2">
      <c r="A19" s="374"/>
      <c r="B19" s="115" t="s">
        <v>9</v>
      </c>
      <c r="C19" s="116"/>
      <c r="D19" s="117"/>
      <c r="E19" s="117"/>
      <c r="F19" s="117"/>
      <c r="G19" s="117"/>
      <c r="H19" s="117"/>
      <c r="I19" s="117"/>
      <c r="J19" s="117"/>
      <c r="K19" s="118">
        <f>K18</f>
        <v>219.42</v>
      </c>
      <c r="L19" s="119" t="s">
        <v>6</v>
      </c>
    </row>
    <row r="20" spans="1:13" s="19" customFormat="1" ht="12.75" x14ac:dyDescent="0.2">
      <c r="A20" s="374"/>
      <c r="B20" s="221"/>
      <c r="C20" s="23"/>
      <c r="D20" s="25"/>
      <c r="E20" s="25"/>
      <c r="F20" s="25"/>
      <c r="G20" s="25"/>
      <c r="H20" s="25"/>
      <c r="I20" s="25"/>
      <c r="J20" s="25"/>
      <c r="K20" s="121"/>
      <c r="L20" s="109"/>
    </row>
    <row r="21" spans="1:13" s="19" customFormat="1" ht="12.75" x14ac:dyDescent="0.2">
      <c r="A21" s="374" t="s">
        <v>325</v>
      </c>
      <c r="B21" s="573" t="str">
        <f>'Planilha Orçamentária'!D12</f>
        <v>Regularização de superfícies em terra com motoniveladora</v>
      </c>
      <c r="C21" s="574"/>
      <c r="D21" s="574"/>
      <c r="E21" s="574"/>
      <c r="F21" s="574"/>
      <c r="G21" s="574"/>
      <c r="H21" s="574"/>
      <c r="I21" s="574"/>
      <c r="J21" s="574"/>
      <c r="K21" s="575"/>
      <c r="L21" s="193"/>
    </row>
    <row r="22" spans="1:13" s="19" customFormat="1" ht="12.75" x14ac:dyDescent="0.2">
      <c r="A22" s="374"/>
      <c r="B22" s="204" t="s">
        <v>822</v>
      </c>
      <c r="C22" s="41">
        <v>1</v>
      </c>
      <c r="D22" s="162">
        <v>16.75</v>
      </c>
      <c r="E22" s="162">
        <v>13.1</v>
      </c>
      <c r="F22" s="162"/>
      <c r="G22" s="162">
        <f>TRUNC(E22*D22,2)</f>
        <v>219.42</v>
      </c>
      <c r="H22" s="162"/>
      <c r="I22" s="162"/>
      <c r="J22" s="162"/>
      <c r="K22" s="145">
        <f>G22</f>
        <v>219.42</v>
      </c>
      <c r="L22" s="203"/>
    </row>
    <row r="23" spans="1:13" s="19" customFormat="1" ht="12.75" x14ac:dyDescent="0.2">
      <c r="A23" s="374"/>
      <c r="B23" s="115" t="s">
        <v>9</v>
      </c>
      <c r="C23" s="116"/>
      <c r="D23" s="117"/>
      <c r="E23" s="117"/>
      <c r="F23" s="117"/>
      <c r="G23" s="117"/>
      <c r="H23" s="117"/>
      <c r="I23" s="117"/>
      <c r="J23" s="117"/>
      <c r="K23" s="118">
        <f>K22</f>
        <v>219.42</v>
      </c>
      <c r="L23" s="119" t="s">
        <v>6</v>
      </c>
    </row>
    <row r="24" spans="1:13" s="19" customFormat="1" ht="12.75" x14ac:dyDescent="0.2">
      <c r="A24" s="374"/>
      <c r="B24" s="221"/>
      <c r="C24" s="23"/>
      <c r="D24" s="25"/>
      <c r="E24" s="25"/>
      <c r="F24" s="25"/>
      <c r="G24" s="25"/>
      <c r="H24" s="25"/>
      <c r="I24" s="25"/>
      <c r="J24" s="25"/>
      <c r="K24" s="121"/>
      <c r="L24" s="109"/>
    </row>
    <row r="25" spans="1:13" s="19" customFormat="1" ht="12.75" x14ac:dyDescent="0.2">
      <c r="A25" s="374" t="s">
        <v>326</v>
      </c>
      <c r="B25" s="573" t="str">
        <f>'Planilha Orçamentária'!D13</f>
        <v>Locação de obra com gabarito de madeira</v>
      </c>
      <c r="C25" s="574"/>
      <c r="D25" s="574"/>
      <c r="E25" s="574"/>
      <c r="F25" s="574"/>
      <c r="G25" s="574"/>
      <c r="H25" s="574"/>
      <c r="I25" s="574"/>
      <c r="J25" s="574"/>
      <c r="K25" s="575"/>
      <c r="L25" s="193"/>
    </row>
    <row r="26" spans="1:13" s="19" customFormat="1" ht="12.75" x14ac:dyDescent="0.2">
      <c r="A26" s="202"/>
      <c r="B26" s="204" t="s">
        <v>823</v>
      </c>
      <c r="C26" s="41">
        <v>1</v>
      </c>
      <c r="D26" s="162">
        <v>16.75</v>
      </c>
      <c r="E26" s="162">
        <v>12.3</v>
      </c>
      <c r="F26" s="162"/>
      <c r="G26" s="162">
        <f>TRUNC(D26*E26,2)</f>
        <v>206.02</v>
      </c>
      <c r="H26" s="162"/>
      <c r="I26" s="162"/>
      <c r="J26" s="162"/>
      <c r="K26" s="145">
        <f>G26</f>
        <v>206.02</v>
      </c>
      <c r="L26" s="203"/>
    </row>
    <row r="27" spans="1:13" s="19" customFormat="1" ht="12.75" x14ac:dyDescent="0.2">
      <c r="A27" s="202"/>
      <c r="B27" s="115" t="s">
        <v>9</v>
      </c>
      <c r="C27" s="116"/>
      <c r="D27" s="117"/>
      <c r="E27" s="117"/>
      <c r="F27" s="117"/>
      <c r="G27" s="117"/>
      <c r="H27" s="117"/>
      <c r="I27" s="117"/>
      <c r="J27" s="117"/>
      <c r="K27" s="118">
        <f>K26</f>
        <v>206.02</v>
      </c>
      <c r="L27" s="119" t="s">
        <v>6</v>
      </c>
    </row>
    <row r="28" spans="1:13" s="19" customFormat="1" ht="12.75" x14ac:dyDescent="0.2">
      <c r="A28" s="187"/>
      <c r="B28" s="188"/>
      <c r="C28" s="189"/>
      <c r="D28" s="190"/>
      <c r="E28" s="191"/>
      <c r="F28" s="191"/>
      <c r="G28" s="191"/>
      <c r="H28" s="191"/>
      <c r="I28" s="191"/>
      <c r="J28" s="191"/>
      <c r="K28" s="192"/>
      <c r="L28" s="193"/>
    </row>
    <row r="29" spans="1:13" s="22" customFormat="1" ht="12.75" x14ac:dyDescent="0.2">
      <c r="A29" s="128" t="s">
        <v>327</v>
      </c>
      <c r="B29" s="106" t="str">
        <f>'Planilha Orçamentária'!D16</f>
        <v>INFRAESTRUTURA E SUPERESTRUTURA</v>
      </c>
      <c r="C29" s="20"/>
      <c r="D29" s="107"/>
      <c r="E29" s="20"/>
      <c r="F29" s="21"/>
      <c r="G29" s="20"/>
      <c r="H29" s="21"/>
      <c r="I29" s="21"/>
      <c r="J29" s="21"/>
      <c r="K29" s="108"/>
      <c r="L29" s="109"/>
    </row>
    <row r="30" spans="1:13" s="22" customFormat="1" ht="12.75" x14ac:dyDescent="0.2">
      <c r="A30" s="128" t="s">
        <v>328</v>
      </c>
      <c r="B30" s="106" t="str">
        <f>'Planilha Orçamentária'!D17</f>
        <v>Fundação - Sapatas</v>
      </c>
      <c r="C30" s="20"/>
      <c r="D30" s="107"/>
      <c r="E30" s="20"/>
      <c r="F30" s="21"/>
      <c r="G30" s="20"/>
      <c r="H30" s="21"/>
      <c r="I30" s="21"/>
      <c r="J30" s="21"/>
      <c r="K30" s="108"/>
      <c r="L30" s="109"/>
    </row>
    <row r="31" spans="1:13" s="19" customFormat="1" ht="12.75" x14ac:dyDescent="0.2">
      <c r="A31" s="110" t="s">
        <v>329</v>
      </c>
      <c r="B31" s="567" t="str">
        <f>'Planilha Orçamentária'!D18</f>
        <v>Escavação manual em material de 1a. categoria, até 1.50 m de profundidade</v>
      </c>
      <c r="C31" s="568"/>
      <c r="D31" s="568"/>
      <c r="E31" s="568"/>
      <c r="F31" s="568"/>
      <c r="G31" s="568"/>
      <c r="H31" s="568"/>
      <c r="I31" s="568"/>
      <c r="J31" s="568"/>
      <c r="K31" s="569"/>
      <c r="L31" s="111"/>
    </row>
    <row r="32" spans="1:13" s="19" customFormat="1" ht="12.75" x14ac:dyDescent="0.2">
      <c r="A32" s="184"/>
      <c r="B32" s="112" t="s">
        <v>454</v>
      </c>
      <c r="C32" s="307">
        <v>15</v>
      </c>
      <c r="D32" s="306">
        <v>1.05</v>
      </c>
      <c r="E32" s="305">
        <v>1.05</v>
      </c>
      <c r="F32" s="305">
        <f>1.5+0.3</f>
        <v>1.8</v>
      </c>
      <c r="G32" s="305"/>
      <c r="H32" s="305">
        <f>TRUNC(D32*E32*F32,2)</f>
        <v>1.98</v>
      </c>
      <c r="I32" s="305"/>
      <c r="J32" s="305"/>
      <c r="K32" s="114">
        <f>TRUNC(H32*C32,2)</f>
        <v>29.7</v>
      </c>
      <c r="L32" s="308"/>
      <c r="M32" s="309"/>
    </row>
    <row r="33" spans="1:13" s="19" customFormat="1" ht="12.75" x14ac:dyDescent="0.2">
      <c r="A33" s="110"/>
      <c r="B33" s="112" t="s">
        <v>455</v>
      </c>
      <c r="C33" s="307">
        <v>6</v>
      </c>
      <c r="D33" s="306">
        <v>1.2</v>
      </c>
      <c r="E33" s="305">
        <v>1.2</v>
      </c>
      <c r="F33" s="305">
        <f>1.5+0.35</f>
        <v>1.85</v>
      </c>
      <c r="G33" s="305"/>
      <c r="H33" s="305">
        <f>TRUNC(D33*E33*F33,2)</f>
        <v>2.66</v>
      </c>
      <c r="I33" s="305"/>
      <c r="J33" s="305"/>
      <c r="K33" s="114">
        <f>TRUNC(H33*C33,2)</f>
        <v>15.96</v>
      </c>
      <c r="L33" s="310"/>
      <c r="M33" s="309"/>
    </row>
    <row r="34" spans="1:13" s="19" customFormat="1" ht="12.75" x14ac:dyDescent="0.2">
      <c r="A34" s="110"/>
      <c r="B34" s="115" t="s">
        <v>9</v>
      </c>
      <c r="C34" s="116"/>
      <c r="D34" s="117"/>
      <c r="E34" s="117"/>
      <c r="F34" s="117"/>
      <c r="G34" s="117"/>
      <c r="H34" s="117"/>
      <c r="I34" s="117"/>
      <c r="J34" s="117"/>
      <c r="K34" s="118">
        <f>SUM(K32:K33)</f>
        <v>45.66</v>
      </c>
      <c r="L34" s="119" t="s">
        <v>303</v>
      </c>
    </row>
    <row r="35" spans="1:13" s="19" customFormat="1" ht="12.75" x14ac:dyDescent="0.2">
      <c r="A35" s="110"/>
      <c r="B35" s="120"/>
      <c r="C35" s="23"/>
      <c r="D35" s="25"/>
      <c r="E35" s="25"/>
      <c r="F35" s="25"/>
      <c r="G35" s="25"/>
      <c r="H35" s="25"/>
      <c r="I35" s="25"/>
      <c r="J35" s="25"/>
      <c r="K35" s="121"/>
      <c r="L35" s="109"/>
    </row>
    <row r="36" spans="1:13" s="19" customFormat="1" ht="15" customHeight="1" x14ac:dyDescent="0.2">
      <c r="A36" s="110" t="s">
        <v>330</v>
      </c>
      <c r="B36" s="567" t="str">
        <f>'Planilha Orçamentária'!D19</f>
        <v xml:space="preserve">Lastro de concreto magro, aplicado em bloco de coroamento ou sapatas, espessura de 5 cm. </v>
      </c>
      <c r="C36" s="568"/>
      <c r="D36" s="568"/>
      <c r="E36" s="568"/>
      <c r="F36" s="568"/>
      <c r="G36" s="568"/>
      <c r="H36" s="568"/>
      <c r="I36" s="568"/>
      <c r="J36" s="568"/>
      <c r="K36" s="569"/>
      <c r="L36" s="111"/>
    </row>
    <row r="37" spans="1:13" s="19" customFormat="1" ht="15" customHeight="1" x14ac:dyDescent="0.2">
      <c r="A37" s="110"/>
      <c r="B37" s="112" t="s">
        <v>454</v>
      </c>
      <c r="C37" s="311">
        <v>15</v>
      </c>
      <c r="D37" s="311">
        <v>1.05</v>
      </c>
      <c r="E37" s="311">
        <v>1.05</v>
      </c>
      <c r="F37" s="311"/>
      <c r="G37" s="311">
        <f>TRUNC(D37*E37,2)</f>
        <v>1.1000000000000001</v>
      </c>
      <c r="H37" s="311"/>
      <c r="I37" s="311"/>
      <c r="J37" s="311"/>
      <c r="K37" s="312">
        <f>TRUNC(G37*C37,2)</f>
        <v>16.5</v>
      </c>
      <c r="L37" s="111"/>
    </row>
    <row r="38" spans="1:13" s="19" customFormat="1" ht="15" customHeight="1" x14ac:dyDescent="0.2">
      <c r="A38" s="110"/>
      <c r="B38" s="122" t="s">
        <v>455</v>
      </c>
      <c r="C38" s="314">
        <v>6</v>
      </c>
      <c r="D38" s="313">
        <v>1.2</v>
      </c>
      <c r="E38" s="314">
        <v>1.2</v>
      </c>
      <c r="F38" s="314"/>
      <c r="G38" s="311">
        <f>TRUNC(D38*E38,2)</f>
        <v>1.44</v>
      </c>
      <c r="H38" s="314"/>
      <c r="I38" s="314"/>
      <c r="J38" s="314"/>
      <c r="K38" s="312">
        <f>TRUNC(G38*C38,2)</f>
        <v>8.64</v>
      </c>
      <c r="L38" s="111"/>
    </row>
    <row r="39" spans="1:13" s="19" customFormat="1" ht="15" customHeight="1" x14ac:dyDescent="0.2">
      <c r="A39" s="110"/>
      <c r="B39" s="115" t="s">
        <v>9</v>
      </c>
      <c r="C39" s="116"/>
      <c r="D39" s="117"/>
      <c r="E39" s="117"/>
      <c r="F39" s="117"/>
      <c r="G39" s="117"/>
      <c r="H39" s="117"/>
      <c r="I39" s="117"/>
      <c r="J39" s="117"/>
      <c r="K39" s="118">
        <f>SUM(K37:K38)</f>
        <v>25.14</v>
      </c>
      <c r="L39" s="119" t="s">
        <v>6</v>
      </c>
    </row>
    <row r="40" spans="1:13" s="19" customFormat="1" ht="15" customHeight="1" x14ac:dyDescent="0.2">
      <c r="A40" s="110"/>
      <c r="B40" s="221"/>
      <c r="C40" s="23"/>
      <c r="D40" s="25"/>
      <c r="E40" s="25"/>
      <c r="F40" s="25"/>
      <c r="G40" s="25"/>
      <c r="H40" s="25"/>
      <c r="I40" s="25"/>
      <c r="J40" s="25"/>
      <c r="K40" s="121"/>
      <c r="L40" s="109"/>
    </row>
    <row r="41" spans="1:13" s="19" customFormat="1" ht="15" customHeight="1" x14ac:dyDescent="0.2">
      <c r="A41" s="110" t="s">
        <v>331</v>
      </c>
      <c r="B41" s="221" t="str">
        <f>'Planilha Orçamentária'!D20</f>
        <v>Fornecimento, dobragem e colocação em fôrma, de armadura CA-50 A média, diâmetro de 6.3 a 10.0 mm</v>
      </c>
      <c r="C41" s="23"/>
      <c r="D41" s="25"/>
      <c r="E41" s="25"/>
      <c r="F41" s="25"/>
      <c r="G41" s="25"/>
      <c r="H41" s="25"/>
      <c r="I41" s="25"/>
      <c r="J41" s="25"/>
      <c r="K41" s="121"/>
      <c r="L41" s="109"/>
    </row>
    <row r="42" spans="1:13" s="19" customFormat="1" ht="15" customHeight="1" x14ac:dyDescent="0.2">
      <c r="A42" s="110"/>
      <c r="B42" s="112" t="s">
        <v>456</v>
      </c>
      <c r="C42" s="311">
        <v>15</v>
      </c>
      <c r="D42" s="311">
        <f>0.97*8</f>
        <v>7.76</v>
      </c>
      <c r="E42" s="311"/>
      <c r="F42" s="311"/>
      <c r="G42" s="311"/>
      <c r="H42" s="311"/>
      <c r="I42" s="315">
        <v>0.61699999999999999</v>
      </c>
      <c r="J42" s="311"/>
      <c r="K42" s="312">
        <f>TRUNC(I42*D42*C42,2)</f>
        <v>71.81</v>
      </c>
      <c r="L42" s="109"/>
    </row>
    <row r="43" spans="1:13" s="19" customFormat="1" ht="15" customHeight="1" x14ac:dyDescent="0.2">
      <c r="A43" s="110"/>
      <c r="B43" s="122" t="s">
        <v>457</v>
      </c>
      <c r="C43" s="314">
        <v>6</v>
      </c>
      <c r="D43" s="313">
        <f>1.12*10</f>
        <v>11.200000000000001</v>
      </c>
      <c r="E43" s="314"/>
      <c r="F43" s="314"/>
      <c r="G43" s="311"/>
      <c r="H43" s="314"/>
      <c r="I43" s="314">
        <v>0.61699999999999999</v>
      </c>
      <c r="J43" s="314"/>
      <c r="K43" s="312">
        <f>TRUNC(I43*D43*C43,2)</f>
        <v>41.46</v>
      </c>
      <c r="L43" s="111"/>
    </row>
    <row r="44" spans="1:13" s="19" customFormat="1" ht="15" customHeight="1" x14ac:dyDescent="0.2">
      <c r="A44" s="110"/>
      <c r="B44" s="115" t="s">
        <v>9</v>
      </c>
      <c r="C44" s="116"/>
      <c r="D44" s="117"/>
      <c r="E44" s="117"/>
      <c r="F44" s="117"/>
      <c r="G44" s="117"/>
      <c r="H44" s="117"/>
      <c r="I44" s="117"/>
      <c r="J44" s="117"/>
      <c r="K44" s="118">
        <f>SUM(K42:K43)</f>
        <v>113.27000000000001</v>
      </c>
      <c r="L44" s="119" t="s">
        <v>231</v>
      </c>
    </row>
    <row r="45" spans="1:13" s="19" customFormat="1" ht="15" customHeight="1" x14ac:dyDescent="0.2">
      <c r="A45" s="110"/>
      <c r="B45" s="221"/>
      <c r="C45" s="23"/>
      <c r="D45" s="25"/>
      <c r="E45" s="25"/>
      <c r="F45" s="25"/>
      <c r="G45" s="25"/>
      <c r="H45" s="25"/>
      <c r="I45" s="25"/>
      <c r="J45" s="25"/>
      <c r="K45" s="121"/>
      <c r="L45" s="109"/>
    </row>
    <row r="46" spans="1:13" s="19" customFormat="1" ht="15" customHeight="1" x14ac:dyDescent="0.2">
      <c r="A46" s="110" t="s">
        <v>332</v>
      </c>
      <c r="B46" s="567" t="str">
        <f>'Planilha Orçamentária'!D21</f>
        <v>Fornecimento, preparo e aplicação de concreto Fck=25 MPa (brita 1 e 2) - (5% de perdas já incluído no custo)</v>
      </c>
      <c r="C46" s="568"/>
      <c r="D46" s="568"/>
      <c r="E46" s="568"/>
      <c r="F46" s="568"/>
      <c r="G46" s="568"/>
      <c r="H46" s="568"/>
      <c r="I46" s="568"/>
      <c r="J46" s="568"/>
      <c r="K46" s="569"/>
      <c r="L46" s="111"/>
    </row>
    <row r="47" spans="1:13" s="19" customFormat="1" ht="15" customHeight="1" x14ac:dyDescent="0.2">
      <c r="A47" s="110"/>
      <c r="B47" s="112" t="s">
        <v>458</v>
      </c>
      <c r="C47" s="311">
        <v>15</v>
      </c>
      <c r="D47" s="311">
        <v>1.05</v>
      </c>
      <c r="E47" s="311">
        <v>1.05</v>
      </c>
      <c r="F47" s="311">
        <v>0.2</v>
      </c>
      <c r="G47" s="311"/>
      <c r="H47" s="311">
        <f>TRUNC(D47*E47*F47,2)</f>
        <v>0.22</v>
      </c>
      <c r="I47" s="315"/>
      <c r="J47" s="311"/>
      <c r="K47" s="312">
        <f>TRUNC(H47*C47,2)</f>
        <v>3.3</v>
      </c>
      <c r="L47" s="111"/>
    </row>
    <row r="48" spans="1:13" s="19" customFormat="1" ht="15" customHeight="1" x14ac:dyDescent="0.2">
      <c r="A48" s="110"/>
      <c r="B48" s="122" t="s">
        <v>459</v>
      </c>
      <c r="C48" s="314">
        <v>6</v>
      </c>
      <c r="D48" s="313">
        <v>1.2</v>
      </c>
      <c r="E48" s="314">
        <v>1.2</v>
      </c>
      <c r="F48" s="314">
        <v>0.25</v>
      </c>
      <c r="G48" s="311"/>
      <c r="H48" s="311">
        <f>TRUNC(D48*E48*F48,2)</f>
        <v>0.36</v>
      </c>
      <c r="I48" s="314"/>
      <c r="J48" s="314"/>
      <c r="K48" s="312">
        <f>TRUNC(H48*C48,2)</f>
        <v>2.16</v>
      </c>
      <c r="L48" s="111"/>
    </row>
    <row r="49" spans="1:12" s="19" customFormat="1" ht="15" customHeight="1" x14ac:dyDescent="0.2">
      <c r="A49" s="110"/>
      <c r="B49" s="115" t="s">
        <v>9</v>
      </c>
      <c r="C49" s="116"/>
      <c r="D49" s="117"/>
      <c r="E49" s="117"/>
      <c r="F49" s="117"/>
      <c r="G49" s="117"/>
      <c r="H49" s="117"/>
      <c r="I49" s="117"/>
      <c r="J49" s="117"/>
      <c r="K49" s="118">
        <f>SUM(K47:K48)</f>
        <v>5.46</v>
      </c>
      <c r="L49" s="119" t="s">
        <v>303</v>
      </c>
    </row>
    <row r="50" spans="1:12" s="19" customFormat="1" ht="15" customHeight="1" x14ac:dyDescent="0.2">
      <c r="A50" s="110"/>
      <c r="B50" s="221"/>
      <c r="C50" s="23"/>
      <c r="D50" s="25"/>
      <c r="E50" s="25"/>
      <c r="F50" s="25"/>
      <c r="G50" s="25"/>
      <c r="H50" s="25"/>
      <c r="I50" s="25"/>
      <c r="J50" s="25"/>
      <c r="K50" s="121"/>
      <c r="L50" s="109"/>
    </row>
    <row r="51" spans="1:12" s="19" customFormat="1" ht="15" customHeight="1" x14ac:dyDescent="0.2">
      <c r="A51" s="110" t="s">
        <v>333</v>
      </c>
      <c r="B51" s="221" t="str">
        <f>'Planilha Orçamentária'!D22</f>
        <v>Reaterro manual apiloado com soquete.</v>
      </c>
      <c r="C51" s="23"/>
      <c r="D51" s="25"/>
      <c r="E51" s="25"/>
      <c r="F51" s="25"/>
      <c r="G51" s="25"/>
      <c r="H51" s="25"/>
      <c r="I51" s="25"/>
      <c r="J51" s="25"/>
      <c r="K51" s="121"/>
      <c r="L51" s="109"/>
    </row>
    <row r="52" spans="1:12" s="19" customFormat="1" ht="15" customHeight="1" x14ac:dyDescent="0.2">
      <c r="A52" s="110"/>
      <c r="B52" s="112" t="s">
        <v>458</v>
      </c>
      <c r="C52" s="311">
        <v>15</v>
      </c>
      <c r="D52" s="311">
        <v>1.05</v>
      </c>
      <c r="E52" s="311">
        <v>1.05</v>
      </c>
      <c r="F52" s="311">
        <v>1.5</v>
      </c>
      <c r="G52" s="311"/>
      <c r="H52" s="311">
        <f>TRUNC(D52*E52*F52,2)</f>
        <v>1.65</v>
      </c>
      <c r="I52" s="315"/>
      <c r="J52" s="311">
        <f>TRUNC(0.35*0.15*1.5*C52,2)</f>
        <v>1.18</v>
      </c>
      <c r="K52" s="312">
        <f>TRUNC(H52*C52,2)-J52</f>
        <v>23.57</v>
      </c>
      <c r="L52" s="109"/>
    </row>
    <row r="53" spans="1:12" s="19" customFormat="1" ht="15" customHeight="1" x14ac:dyDescent="0.2">
      <c r="A53" s="110"/>
      <c r="B53" s="122" t="s">
        <v>459</v>
      </c>
      <c r="C53" s="314">
        <v>6</v>
      </c>
      <c r="D53" s="313">
        <v>1.2</v>
      </c>
      <c r="E53" s="314">
        <v>1.2</v>
      </c>
      <c r="F53" s="314">
        <v>1.5</v>
      </c>
      <c r="G53" s="311"/>
      <c r="H53" s="311">
        <f>TRUNC(D53*E53*F53,2)</f>
        <v>2.16</v>
      </c>
      <c r="I53" s="314"/>
      <c r="J53" s="311">
        <f>TRUNC(0.5*0.2*1.5*C53,2)</f>
        <v>0.9</v>
      </c>
      <c r="K53" s="312">
        <f>TRUNC(H53*C53,2)-J53</f>
        <v>12.06</v>
      </c>
      <c r="L53" s="111"/>
    </row>
    <row r="54" spans="1:12" s="19" customFormat="1" ht="15" customHeight="1" x14ac:dyDescent="0.2">
      <c r="A54" s="110"/>
      <c r="B54" s="115" t="s">
        <v>9</v>
      </c>
      <c r="C54" s="116"/>
      <c r="D54" s="117"/>
      <c r="E54" s="117"/>
      <c r="F54" s="117"/>
      <c r="G54" s="117"/>
      <c r="H54" s="117"/>
      <c r="I54" s="117"/>
      <c r="J54" s="117"/>
      <c r="K54" s="118">
        <f>SUM(K52:K53)</f>
        <v>35.630000000000003</v>
      </c>
      <c r="L54" s="119" t="s">
        <v>303</v>
      </c>
    </row>
    <row r="55" spans="1:12" s="19" customFormat="1" ht="15" customHeight="1" x14ac:dyDescent="0.2">
      <c r="A55" s="110"/>
      <c r="B55" s="221"/>
      <c r="C55" s="23"/>
      <c r="D55" s="25"/>
      <c r="E55" s="25"/>
      <c r="F55" s="25"/>
      <c r="G55" s="25"/>
      <c r="H55" s="25"/>
      <c r="I55" s="25"/>
      <c r="J55" s="25"/>
      <c r="K55" s="121"/>
      <c r="L55" s="109"/>
    </row>
    <row r="56" spans="1:12" s="19" customFormat="1" ht="15" customHeight="1" x14ac:dyDescent="0.2">
      <c r="A56" s="375" t="s">
        <v>338</v>
      </c>
      <c r="B56" s="106" t="str">
        <f>'Planilha Orçamentária'!D23</f>
        <v>Arranques</v>
      </c>
      <c r="C56" s="23"/>
      <c r="D56" s="25"/>
      <c r="E56" s="25"/>
      <c r="F56" s="25"/>
      <c r="G56" s="25"/>
      <c r="H56" s="25"/>
      <c r="I56" s="25"/>
      <c r="J56" s="25"/>
      <c r="K56" s="121"/>
      <c r="L56" s="109"/>
    </row>
    <row r="57" spans="1:12" s="19" customFormat="1" ht="25.5" customHeight="1" x14ac:dyDescent="0.2">
      <c r="A57" s="110" t="s">
        <v>334</v>
      </c>
      <c r="B57" s="567" t="s">
        <v>441</v>
      </c>
      <c r="C57" s="568"/>
      <c r="D57" s="286"/>
      <c r="E57" s="286"/>
      <c r="F57" s="286"/>
      <c r="G57" s="286"/>
      <c r="H57" s="286"/>
      <c r="I57" s="286"/>
      <c r="J57" s="286"/>
      <c r="K57" s="135"/>
      <c r="L57" s="111"/>
    </row>
    <row r="58" spans="1:12" s="19" customFormat="1" ht="12.75" x14ac:dyDescent="0.2">
      <c r="A58" s="110"/>
      <c r="B58" s="122" t="s">
        <v>558</v>
      </c>
      <c r="C58" s="40">
        <f>6+9</f>
        <v>15</v>
      </c>
      <c r="D58" s="40">
        <v>1.5</v>
      </c>
      <c r="E58" s="40">
        <v>0.35</v>
      </c>
      <c r="F58" s="40">
        <v>0.15</v>
      </c>
      <c r="G58" s="40">
        <f>(E58*D58*H58)+(F58*D58*H58)</f>
        <v>1.4999999999999998</v>
      </c>
      <c r="H58" s="40">
        <v>2</v>
      </c>
      <c r="I58" s="40"/>
      <c r="J58" s="40"/>
      <c r="K58" s="123">
        <f>TRUNC(G58*C58,2)</f>
        <v>22.5</v>
      </c>
      <c r="L58" s="111"/>
    </row>
    <row r="59" spans="1:12" s="19" customFormat="1" ht="12.75" x14ac:dyDescent="0.2">
      <c r="A59" s="110"/>
      <c r="B59" s="112" t="s">
        <v>475</v>
      </c>
      <c r="C59" s="334">
        <v>6</v>
      </c>
      <c r="D59" s="335">
        <v>1.5</v>
      </c>
      <c r="E59" s="334">
        <v>0.5</v>
      </c>
      <c r="F59" s="334">
        <v>0.2</v>
      </c>
      <c r="G59" s="334">
        <f>(E59*D59*H59)+(F59*D59*H59)</f>
        <v>2.1</v>
      </c>
      <c r="H59" s="334">
        <v>2</v>
      </c>
      <c r="I59" s="334"/>
      <c r="J59" s="334"/>
      <c r="K59" s="123">
        <f>TRUNC(G59*C59,2)</f>
        <v>12.6</v>
      </c>
      <c r="L59" s="111"/>
    </row>
    <row r="60" spans="1:12" s="19" customFormat="1" ht="12.75" x14ac:dyDescent="0.2">
      <c r="A60" s="110"/>
      <c r="B60" s="115" t="s">
        <v>9</v>
      </c>
      <c r="C60" s="116"/>
      <c r="D60" s="117"/>
      <c r="E60" s="117"/>
      <c r="F60" s="117"/>
      <c r="G60" s="117"/>
      <c r="H60" s="116" t="s">
        <v>481</v>
      </c>
      <c r="I60" s="117"/>
      <c r="J60" s="117"/>
      <c r="K60" s="118">
        <f>SUM(K58:K59)</f>
        <v>35.1</v>
      </c>
      <c r="L60" s="119" t="s">
        <v>6</v>
      </c>
    </row>
    <row r="61" spans="1:12" s="19" customFormat="1" ht="15" customHeight="1" x14ac:dyDescent="0.2">
      <c r="A61" s="110"/>
      <c r="B61" s="221"/>
      <c r="C61" s="23"/>
      <c r="D61" s="25"/>
      <c r="E61" s="25"/>
      <c r="F61" s="25"/>
      <c r="G61" s="25"/>
      <c r="H61" s="25"/>
      <c r="I61" s="25"/>
      <c r="J61" s="25"/>
      <c r="K61" s="121"/>
      <c r="L61" s="109"/>
    </row>
    <row r="62" spans="1:12" s="19" customFormat="1" ht="12.75" x14ac:dyDescent="0.2">
      <c r="A62" s="110" t="s">
        <v>335</v>
      </c>
      <c r="B62" s="567" t="str">
        <f>'Planilha Orçamentária'!D25</f>
        <v>Fornecimento, dobragem e colocação em fôrma, de armadura CA-50 A grossa, diâmetro de 12.5 a 25.0mm</v>
      </c>
      <c r="C62" s="568"/>
      <c r="D62" s="25"/>
      <c r="E62" s="25"/>
      <c r="F62" s="25"/>
      <c r="G62" s="25"/>
      <c r="H62" s="25"/>
      <c r="I62" s="25"/>
      <c r="J62" s="25"/>
      <c r="K62" s="121"/>
      <c r="L62" s="109"/>
    </row>
    <row r="63" spans="1:12" s="19" customFormat="1" ht="12.75" x14ac:dyDescent="0.2">
      <c r="A63" s="110"/>
      <c r="B63" s="122" t="s">
        <v>559</v>
      </c>
      <c r="C63" s="23">
        <v>15</v>
      </c>
      <c r="D63" s="23">
        <f>4*1.47</f>
        <v>5.88</v>
      </c>
      <c r="E63" s="23"/>
      <c r="F63" s="23"/>
      <c r="G63" s="23"/>
      <c r="H63" s="23"/>
      <c r="I63" s="336">
        <v>0.96299999999999997</v>
      </c>
      <c r="J63" s="23"/>
      <c r="K63" s="114">
        <f>TRUNC(I63*D63*C63,2)</f>
        <v>84.93</v>
      </c>
      <c r="L63" s="109"/>
    </row>
    <row r="64" spans="1:12" s="19" customFormat="1" ht="12.75" x14ac:dyDescent="0.2">
      <c r="A64" s="110"/>
      <c r="B64" s="112" t="s">
        <v>819</v>
      </c>
      <c r="C64" s="23">
        <v>6</v>
      </c>
      <c r="D64" s="23">
        <f>6*1.52</f>
        <v>9.120000000000001</v>
      </c>
      <c r="E64" s="23"/>
      <c r="F64" s="23"/>
      <c r="G64" s="23"/>
      <c r="H64" s="23"/>
      <c r="I64" s="336">
        <v>0.96299999999999997</v>
      </c>
      <c r="J64" s="23"/>
      <c r="K64" s="114">
        <f>TRUNC(I64*D64*C64,2)</f>
        <v>52.69</v>
      </c>
      <c r="L64" s="109"/>
    </row>
    <row r="65" spans="1:12" s="19" customFormat="1" ht="12.75" x14ac:dyDescent="0.2">
      <c r="A65" s="110"/>
      <c r="B65" s="112" t="s">
        <v>862</v>
      </c>
      <c r="C65" s="23">
        <v>15</v>
      </c>
      <c r="D65" s="23">
        <f>4*2.45</f>
        <v>9.8000000000000007</v>
      </c>
      <c r="E65" s="23"/>
      <c r="F65" s="23"/>
      <c r="G65" s="23"/>
      <c r="H65" s="23"/>
      <c r="I65" s="336">
        <v>0.96299999999999997</v>
      </c>
      <c r="J65" s="23"/>
      <c r="K65" s="114">
        <f t="shared" ref="K65:K66" si="0">TRUNC(I65*D65*C65,2)</f>
        <v>141.56</v>
      </c>
      <c r="L65" s="109"/>
    </row>
    <row r="66" spans="1:12" s="19" customFormat="1" ht="12.75" x14ac:dyDescent="0.2">
      <c r="A66" s="110"/>
      <c r="B66" s="112" t="s">
        <v>864</v>
      </c>
      <c r="C66" s="23">
        <v>6</v>
      </c>
      <c r="D66" s="23">
        <f>6*2.45</f>
        <v>14.700000000000001</v>
      </c>
      <c r="E66" s="23"/>
      <c r="F66" s="23"/>
      <c r="G66" s="23"/>
      <c r="H66" s="23"/>
      <c r="I66" s="336">
        <v>0.96299999999999997</v>
      </c>
      <c r="J66" s="23"/>
      <c r="K66" s="114">
        <f t="shared" si="0"/>
        <v>84.93</v>
      </c>
      <c r="L66" s="109"/>
    </row>
    <row r="67" spans="1:12" s="19" customFormat="1" ht="15" customHeight="1" x14ac:dyDescent="0.2">
      <c r="A67" s="110"/>
      <c r="B67" s="115" t="s">
        <v>9</v>
      </c>
      <c r="C67" s="116"/>
      <c r="D67" s="117"/>
      <c r="E67" s="117"/>
      <c r="F67" s="117"/>
      <c r="G67" s="117"/>
      <c r="H67" s="117"/>
      <c r="I67" s="117"/>
      <c r="J67" s="117"/>
      <c r="K67" s="118">
        <f>SUM(K63:K66)</f>
        <v>364.11</v>
      </c>
      <c r="L67" s="119" t="s">
        <v>231</v>
      </c>
    </row>
    <row r="68" spans="1:12" s="19" customFormat="1" ht="15" customHeight="1" x14ac:dyDescent="0.2">
      <c r="A68" s="110"/>
      <c r="B68" s="221"/>
      <c r="C68" s="23"/>
      <c r="D68" s="25"/>
      <c r="E68" s="25"/>
      <c r="F68" s="25"/>
      <c r="G68" s="25"/>
      <c r="H68" s="25"/>
      <c r="I68" s="25"/>
      <c r="J68" s="25"/>
      <c r="K68" s="121"/>
      <c r="L68" s="109"/>
    </row>
    <row r="69" spans="1:12" s="19" customFormat="1" ht="12.75" x14ac:dyDescent="0.2">
      <c r="A69" s="110" t="s">
        <v>336</v>
      </c>
      <c r="B69" s="567" t="str">
        <f>'Planilha Orçamentária'!D26</f>
        <v>Fornecimento, dobragem e colocação em fôrma, de armadura CA-50 A média, diâmetro de 6.3 a 10.0 mm</v>
      </c>
      <c r="C69" s="568"/>
      <c r="D69" s="25"/>
      <c r="E69" s="25"/>
      <c r="F69" s="25"/>
      <c r="G69" s="25"/>
      <c r="H69" s="25"/>
      <c r="I69" s="25"/>
      <c r="J69" s="25"/>
      <c r="K69" s="121"/>
      <c r="L69" s="109"/>
    </row>
    <row r="70" spans="1:12" s="19" customFormat="1" ht="15" customHeight="1" x14ac:dyDescent="0.2">
      <c r="A70" s="110"/>
      <c r="B70" s="122" t="s">
        <v>866</v>
      </c>
      <c r="C70" s="23">
        <v>15</v>
      </c>
      <c r="D70" s="23">
        <f>3*0.88</f>
        <v>2.64</v>
      </c>
      <c r="E70" s="23"/>
      <c r="F70" s="23"/>
      <c r="G70" s="23"/>
      <c r="H70" s="23"/>
      <c r="I70" s="317">
        <v>0.245</v>
      </c>
      <c r="J70" s="23"/>
      <c r="K70" s="114">
        <f>TRUNC(I70*D70*C70,2)</f>
        <v>9.6999999999999993</v>
      </c>
      <c r="L70" s="109"/>
    </row>
    <row r="71" spans="1:12" s="19" customFormat="1" ht="15" customHeight="1" x14ac:dyDescent="0.2">
      <c r="A71" s="110"/>
      <c r="B71" s="112" t="s">
        <v>867</v>
      </c>
      <c r="C71" s="24">
        <v>6</v>
      </c>
      <c r="D71" s="113">
        <f>3*1.53</f>
        <v>4.59</v>
      </c>
      <c r="E71" s="24"/>
      <c r="F71" s="24"/>
      <c r="G71" s="24"/>
      <c r="H71" s="24"/>
      <c r="I71" s="318">
        <v>0.245</v>
      </c>
      <c r="J71" s="24"/>
      <c r="K71" s="114">
        <f>TRUNC(I71*D71*C71,2)</f>
        <v>6.74</v>
      </c>
      <c r="L71" s="111"/>
    </row>
    <row r="72" spans="1:12" s="19" customFormat="1" ht="15" customHeight="1" x14ac:dyDescent="0.2">
      <c r="A72" s="110"/>
      <c r="B72" s="122" t="s">
        <v>863</v>
      </c>
      <c r="C72" s="24">
        <v>15</v>
      </c>
      <c r="D72" s="113">
        <f>10*0.9</f>
        <v>9</v>
      </c>
      <c r="E72" s="24"/>
      <c r="F72" s="24"/>
      <c r="G72" s="24"/>
      <c r="H72" s="24"/>
      <c r="I72" s="318">
        <v>0.245</v>
      </c>
      <c r="J72" s="24"/>
      <c r="K72" s="114">
        <f t="shared" ref="K72" si="1">TRUNC(I72*D72*C72,2)</f>
        <v>33.07</v>
      </c>
      <c r="L72" s="111"/>
    </row>
    <row r="73" spans="1:12" s="19" customFormat="1" ht="15" customHeight="1" x14ac:dyDescent="0.2">
      <c r="A73" s="110"/>
      <c r="B73" s="112" t="s">
        <v>865</v>
      </c>
      <c r="C73" s="24">
        <v>6</v>
      </c>
      <c r="D73" s="113">
        <f>10*1.55</f>
        <v>15.5</v>
      </c>
      <c r="E73" s="24"/>
      <c r="F73" s="24"/>
      <c r="G73" s="24"/>
      <c r="H73" s="24"/>
      <c r="I73" s="318">
        <v>0.245</v>
      </c>
      <c r="J73" s="24"/>
      <c r="K73" s="114">
        <f>TRUNC(I73*D73*C73,2)</f>
        <v>22.78</v>
      </c>
      <c r="L73" s="111"/>
    </row>
    <row r="74" spans="1:12" s="19" customFormat="1" ht="15" customHeight="1" x14ac:dyDescent="0.2">
      <c r="A74" s="110"/>
      <c r="B74" s="115" t="s">
        <v>9</v>
      </c>
      <c r="C74" s="116"/>
      <c r="D74" s="117"/>
      <c r="E74" s="117"/>
      <c r="F74" s="117"/>
      <c r="G74" s="117"/>
      <c r="H74" s="117"/>
      <c r="I74" s="117"/>
      <c r="J74" s="117"/>
      <c r="K74" s="118">
        <f>SUM(K70:K73)</f>
        <v>72.289999999999992</v>
      </c>
      <c r="L74" s="119" t="s">
        <v>231</v>
      </c>
    </row>
    <row r="75" spans="1:12" s="19" customFormat="1" ht="15" customHeight="1" x14ac:dyDescent="0.2">
      <c r="A75" s="110"/>
      <c r="B75" s="221"/>
      <c r="C75" s="23"/>
      <c r="D75" s="25"/>
      <c r="E75" s="25"/>
      <c r="F75" s="25"/>
      <c r="G75" s="25"/>
      <c r="H75" s="25"/>
      <c r="I75" s="25"/>
      <c r="J75" s="25"/>
      <c r="K75" s="121"/>
      <c r="L75" s="109"/>
    </row>
    <row r="76" spans="1:12" s="19" customFormat="1" ht="12.75" x14ac:dyDescent="0.2">
      <c r="A76" s="110" t="s">
        <v>337</v>
      </c>
      <c r="B76" s="567" t="str">
        <f>'Planilha Orçamentária'!D27</f>
        <v>Fornecimento, preparo e aplicação de concreto Fck=25 MPa (brita 1 e 2) - (5% de perdas já incluído no custo)</v>
      </c>
      <c r="C76" s="568"/>
      <c r="D76" s="25"/>
      <c r="E76" s="25"/>
      <c r="F76" s="25"/>
      <c r="G76" s="25"/>
      <c r="H76" s="25"/>
      <c r="I76" s="25"/>
      <c r="J76" s="25"/>
      <c r="K76" s="121"/>
      <c r="L76" s="109"/>
    </row>
    <row r="77" spans="1:12" s="19" customFormat="1" ht="15" customHeight="1" x14ac:dyDescent="0.2">
      <c r="A77" s="110"/>
      <c r="B77" s="122" t="s">
        <v>558</v>
      </c>
      <c r="C77" s="23">
        <v>15</v>
      </c>
      <c r="D77" s="23">
        <v>1.5</v>
      </c>
      <c r="E77" s="23">
        <v>0.35</v>
      </c>
      <c r="F77" s="23">
        <v>0.15</v>
      </c>
      <c r="G77" s="23"/>
      <c r="H77" s="23">
        <f>D77*E77*F77</f>
        <v>7.8749999999999987E-2</v>
      </c>
      <c r="I77" s="23"/>
      <c r="J77" s="23"/>
      <c r="K77" s="114">
        <f>TRUNC(H77*C77,2)</f>
        <v>1.18</v>
      </c>
      <c r="L77" s="109"/>
    </row>
    <row r="78" spans="1:12" s="19" customFormat="1" ht="15" customHeight="1" x14ac:dyDescent="0.2">
      <c r="A78" s="110"/>
      <c r="B78" s="112" t="s">
        <v>475</v>
      </c>
      <c r="C78" s="24">
        <v>6</v>
      </c>
      <c r="D78" s="113">
        <v>1.5</v>
      </c>
      <c r="E78" s="24">
        <v>0.5</v>
      </c>
      <c r="F78" s="24">
        <v>0.2</v>
      </c>
      <c r="G78" s="24"/>
      <c r="H78" s="23">
        <f>D78*E78*F78</f>
        <v>0.15000000000000002</v>
      </c>
      <c r="I78" s="24"/>
      <c r="J78" s="24"/>
      <c r="K78" s="114">
        <f>TRUNC(H78*C78,2)</f>
        <v>0.9</v>
      </c>
      <c r="L78" s="111"/>
    </row>
    <row r="79" spans="1:12" s="19" customFormat="1" ht="15" customHeight="1" x14ac:dyDescent="0.2">
      <c r="A79" s="110"/>
      <c r="B79" s="115" t="s">
        <v>9</v>
      </c>
      <c r="C79" s="116"/>
      <c r="D79" s="117"/>
      <c r="E79" s="117"/>
      <c r="F79" s="117"/>
      <c r="G79" s="117"/>
      <c r="H79" s="117"/>
      <c r="I79" s="117"/>
      <c r="J79" s="117"/>
      <c r="K79" s="118">
        <f>SUM(K77:K78)</f>
        <v>2.08</v>
      </c>
      <c r="L79" s="119" t="s">
        <v>303</v>
      </c>
    </row>
    <row r="80" spans="1:12" s="19" customFormat="1" ht="15" customHeight="1" x14ac:dyDescent="0.2">
      <c r="A80" s="110"/>
      <c r="B80" s="221"/>
      <c r="C80" s="23"/>
      <c r="D80" s="25"/>
      <c r="E80" s="25"/>
      <c r="F80" s="25"/>
      <c r="G80" s="25"/>
      <c r="H80" s="25"/>
      <c r="I80" s="25"/>
      <c r="J80" s="25"/>
      <c r="K80" s="121"/>
      <c r="L80" s="109"/>
    </row>
    <row r="81" spans="1:12" s="19" customFormat="1" ht="15" customHeight="1" x14ac:dyDescent="0.2">
      <c r="A81" s="375" t="s">
        <v>339</v>
      </c>
      <c r="B81" s="125" t="str">
        <f>'Planilha Orçamentária'!D28</f>
        <v>Vigas Baldrames - piso 01</v>
      </c>
      <c r="C81" s="23"/>
      <c r="D81" s="25"/>
      <c r="E81" s="25"/>
      <c r="F81" s="25"/>
      <c r="G81" s="25"/>
      <c r="H81" s="25"/>
      <c r="I81" s="25"/>
      <c r="J81" s="25"/>
      <c r="K81" s="121"/>
      <c r="L81" s="109"/>
    </row>
    <row r="82" spans="1:12" s="19" customFormat="1" ht="12.75" x14ac:dyDescent="0.2">
      <c r="A82" s="110" t="s">
        <v>340</v>
      </c>
      <c r="B82" s="294" t="str">
        <f>'Planilha Orçamentária'!D29</f>
        <v>Escavação manual em material de 1a. categoria, até 1.50 m de profundidade</v>
      </c>
      <c r="C82" s="23"/>
      <c r="D82" s="25"/>
      <c r="E82" s="25"/>
      <c r="F82" s="25"/>
      <c r="G82" s="25"/>
      <c r="H82" s="25"/>
      <c r="I82" s="25"/>
      <c r="J82" s="25"/>
      <c r="K82" s="121"/>
      <c r="L82" s="109"/>
    </row>
    <row r="83" spans="1:12" s="19" customFormat="1" ht="15" customHeight="1" x14ac:dyDescent="0.2">
      <c r="A83" s="110"/>
      <c r="B83" s="112" t="s">
        <v>462</v>
      </c>
      <c r="C83" s="24">
        <v>2</v>
      </c>
      <c r="D83" s="23">
        <v>3.65</v>
      </c>
      <c r="E83" s="23">
        <v>0.2</v>
      </c>
      <c r="F83" s="23">
        <v>0.3</v>
      </c>
      <c r="G83" s="23"/>
      <c r="H83" s="23">
        <f>TRUNC(F83*E83*D83,3)</f>
        <v>0.219</v>
      </c>
      <c r="I83" s="23"/>
      <c r="J83" s="23"/>
      <c r="K83" s="114">
        <f>TRUNC(H83*C83,2)</f>
        <v>0.43</v>
      </c>
      <c r="L83" s="109"/>
    </row>
    <row r="84" spans="1:12" s="19" customFormat="1" ht="15" customHeight="1" x14ac:dyDescent="0.2">
      <c r="A84" s="110"/>
      <c r="B84" s="112" t="s">
        <v>463</v>
      </c>
      <c r="C84" s="24">
        <v>1</v>
      </c>
      <c r="D84" s="23">
        <v>3.7</v>
      </c>
      <c r="E84" s="23">
        <v>0.2</v>
      </c>
      <c r="F84" s="23">
        <v>0.3</v>
      </c>
      <c r="G84" s="23"/>
      <c r="H84" s="23">
        <f t="shared" ref="H84:H94" si="2">TRUNC(F84*E84*D84,3)</f>
        <v>0.222</v>
      </c>
      <c r="I84" s="23"/>
      <c r="J84" s="23"/>
      <c r="K84" s="114">
        <f t="shared" ref="K84:K94" si="3">TRUNC(H84*C84,2)</f>
        <v>0.22</v>
      </c>
      <c r="L84" s="109"/>
    </row>
    <row r="85" spans="1:12" s="19" customFormat="1" ht="15" customHeight="1" x14ac:dyDescent="0.2">
      <c r="A85" s="110"/>
      <c r="B85" s="112" t="s">
        <v>464</v>
      </c>
      <c r="C85" s="24">
        <v>2</v>
      </c>
      <c r="D85" s="23">
        <v>1.45</v>
      </c>
      <c r="E85" s="23">
        <v>0.2</v>
      </c>
      <c r="F85" s="23">
        <v>0.3</v>
      </c>
      <c r="G85" s="23"/>
      <c r="H85" s="23">
        <f t="shared" si="2"/>
        <v>8.6999999999999994E-2</v>
      </c>
      <c r="I85" s="23"/>
      <c r="J85" s="23"/>
      <c r="K85" s="114">
        <f t="shared" si="3"/>
        <v>0.17</v>
      </c>
      <c r="L85" s="109"/>
    </row>
    <row r="86" spans="1:12" s="19" customFormat="1" ht="15" customHeight="1" x14ac:dyDescent="0.2">
      <c r="A86" s="110"/>
      <c r="B86" s="112" t="s">
        <v>465</v>
      </c>
      <c r="C86" s="24">
        <v>1</v>
      </c>
      <c r="D86" s="23">
        <v>1</v>
      </c>
      <c r="E86" s="23">
        <v>0.2</v>
      </c>
      <c r="F86" s="23">
        <v>0.3</v>
      </c>
      <c r="G86" s="23"/>
      <c r="H86" s="23">
        <f t="shared" si="2"/>
        <v>0.06</v>
      </c>
      <c r="I86" s="23"/>
      <c r="J86" s="23"/>
      <c r="K86" s="114">
        <f t="shared" si="3"/>
        <v>0.06</v>
      </c>
      <c r="L86" s="109"/>
    </row>
    <row r="87" spans="1:12" s="19" customFormat="1" ht="15" customHeight="1" x14ac:dyDescent="0.2">
      <c r="A87" s="110"/>
      <c r="B87" s="112" t="s">
        <v>466</v>
      </c>
      <c r="C87" s="24">
        <v>2</v>
      </c>
      <c r="D87" s="23">
        <v>6.35</v>
      </c>
      <c r="E87" s="23">
        <v>0.2</v>
      </c>
      <c r="F87" s="23">
        <v>0.3</v>
      </c>
      <c r="G87" s="23"/>
      <c r="H87" s="23">
        <f t="shared" si="2"/>
        <v>0.38100000000000001</v>
      </c>
      <c r="I87" s="23"/>
      <c r="J87" s="23"/>
      <c r="K87" s="114">
        <f t="shared" si="3"/>
        <v>0.76</v>
      </c>
      <c r="L87" s="109"/>
    </row>
    <row r="88" spans="1:12" s="19" customFormat="1" ht="15" customHeight="1" x14ac:dyDescent="0.2">
      <c r="A88" s="110"/>
      <c r="B88" s="112" t="s">
        <v>467</v>
      </c>
      <c r="C88" s="24">
        <v>1</v>
      </c>
      <c r="D88" s="23">
        <v>6.25</v>
      </c>
      <c r="E88" s="23">
        <v>0.2</v>
      </c>
      <c r="F88" s="23">
        <v>0.3</v>
      </c>
      <c r="G88" s="23"/>
      <c r="H88" s="23">
        <f t="shared" si="2"/>
        <v>0.375</v>
      </c>
      <c r="I88" s="23"/>
      <c r="J88" s="23"/>
      <c r="K88" s="114">
        <f t="shared" si="3"/>
        <v>0.37</v>
      </c>
      <c r="L88" s="109"/>
    </row>
    <row r="89" spans="1:12" s="19" customFormat="1" ht="15" customHeight="1" x14ac:dyDescent="0.2">
      <c r="A89" s="110"/>
      <c r="B89" s="112" t="s">
        <v>468</v>
      </c>
      <c r="C89" s="24">
        <v>1</v>
      </c>
      <c r="D89" s="23">
        <v>5</v>
      </c>
      <c r="E89" s="23">
        <v>0.2</v>
      </c>
      <c r="F89" s="23">
        <v>0.3</v>
      </c>
      <c r="G89" s="23"/>
      <c r="H89" s="23">
        <f t="shared" si="2"/>
        <v>0.3</v>
      </c>
      <c r="I89" s="23"/>
      <c r="J89" s="23"/>
      <c r="K89" s="114">
        <f t="shared" si="3"/>
        <v>0.3</v>
      </c>
      <c r="L89" s="109"/>
    </row>
    <row r="90" spans="1:12" s="19" customFormat="1" ht="15" customHeight="1" x14ac:dyDescent="0.2">
      <c r="A90" s="110"/>
      <c r="B90" s="112" t="s">
        <v>469</v>
      </c>
      <c r="C90" s="24">
        <v>2</v>
      </c>
      <c r="D90" s="23">
        <v>4.9000000000000004</v>
      </c>
      <c r="E90" s="23">
        <v>0.2</v>
      </c>
      <c r="F90" s="23">
        <v>0.3</v>
      </c>
      <c r="G90" s="23"/>
      <c r="H90" s="23">
        <f t="shared" si="2"/>
        <v>0.29399999999999998</v>
      </c>
      <c r="I90" s="23"/>
      <c r="J90" s="23"/>
      <c r="K90" s="114">
        <f t="shared" si="3"/>
        <v>0.57999999999999996</v>
      </c>
      <c r="L90" s="109"/>
    </row>
    <row r="91" spans="1:12" s="19" customFormat="1" ht="15" customHeight="1" x14ac:dyDescent="0.2">
      <c r="A91" s="110"/>
      <c r="B91" s="112" t="s">
        <v>470</v>
      </c>
      <c r="C91" s="24">
        <v>9</v>
      </c>
      <c r="D91" s="23">
        <v>2.2999999999999998</v>
      </c>
      <c r="E91" s="23">
        <v>0.2</v>
      </c>
      <c r="F91" s="23">
        <v>0.3</v>
      </c>
      <c r="G91" s="23"/>
      <c r="H91" s="23">
        <f t="shared" si="2"/>
        <v>0.13800000000000001</v>
      </c>
      <c r="I91" s="23"/>
      <c r="J91" s="23"/>
      <c r="K91" s="114">
        <f t="shared" si="3"/>
        <v>1.24</v>
      </c>
      <c r="L91" s="109"/>
    </row>
    <row r="92" spans="1:12" s="19" customFormat="1" ht="15" customHeight="1" x14ac:dyDescent="0.2">
      <c r="A92" s="110"/>
      <c r="B92" s="112" t="s">
        <v>471</v>
      </c>
      <c r="C92" s="24">
        <v>2</v>
      </c>
      <c r="D92" s="23">
        <v>3.5</v>
      </c>
      <c r="E92" s="23">
        <v>0.2</v>
      </c>
      <c r="F92" s="23">
        <v>0.3</v>
      </c>
      <c r="G92" s="23"/>
      <c r="H92" s="23">
        <f t="shared" si="2"/>
        <v>0.21</v>
      </c>
      <c r="I92" s="23"/>
      <c r="J92" s="23"/>
      <c r="K92" s="114">
        <f t="shared" si="3"/>
        <v>0.42</v>
      </c>
      <c r="L92" s="109"/>
    </row>
    <row r="93" spans="1:12" s="19" customFormat="1" ht="15" customHeight="1" x14ac:dyDescent="0.2">
      <c r="A93" s="110"/>
      <c r="B93" s="112" t="s">
        <v>472</v>
      </c>
      <c r="C93" s="24">
        <v>4</v>
      </c>
      <c r="D93" s="23">
        <v>3.8</v>
      </c>
      <c r="E93" s="23">
        <v>0.2</v>
      </c>
      <c r="F93" s="23">
        <v>0.3</v>
      </c>
      <c r="G93" s="23"/>
      <c r="H93" s="23">
        <f t="shared" si="2"/>
        <v>0.22800000000000001</v>
      </c>
      <c r="I93" s="23"/>
      <c r="J93" s="23"/>
      <c r="K93" s="114">
        <f t="shared" si="3"/>
        <v>0.91</v>
      </c>
      <c r="L93" s="109"/>
    </row>
    <row r="94" spans="1:12" s="19" customFormat="1" ht="15" customHeight="1" x14ac:dyDescent="0.2">
      <c r="A94" s="110"/>
      <c r="B94" s="112" t="s">
        <v>473</v>
      </c>
      <c r="C94" s="24">
        <v>2</v>
      </c>
      <c r="D94" s="23">
        <v>1.4</v>
      </c>
      <c r="E94" s="23">
        <v>0.2</v>
      </c>
      <c r="F94" s="23">
        <v>0.3</v>
      </c>
      <c r="G94" s="23"/>
      <c r="H94" s="23">
        <f t="shared" si="2"/>
        <v>8.4000000000000005E-2</v>
      </c>
      <c r="I94" s="23"/>
      <c r="J94" s="23"/>
      <c r="K94" s="114">
        <f t="shared" si="3"/>
        <v>0.16</v>
      </c>
      <c r="L94" s="109"/>
    </row>
    <row r="95" spans="1:12" s="19" customFormat="1" ht="15" customHeight="1" x14ac:dyDescent="0.2">
      <c r="A95" s="110"/>
      <c r="B95" s="115" t="s">
        <v>9</v>
      </c>
      <c r="C95" s="116"/>
      <c r="D95" s="117"/>
      <c r="E95" s="117"/>
      <c r="F95" s="117"/>
      <c r="G95" s="117"/>
      <c r="H95" s="117"/>
      <c r="I95" s="117"/>
      <c r="J95" s="117"/>
      <c r="K95" s="118">
        <f>SUM(K83:K94)</f>
        <v>5.62</v>
      </c>
      <c r="L95" s="119" t="s">
        <v>303</v>
      </c>
    </row>
    <row r="96" spans="1:12" s="19" customFormat="1" ht="15" customHeight="1" x14ac:dyDescent="0.2">
      <c r="A96" s="110"/>
      <c r="B96" s="221"/>
      <c r="C96" s="23"/>
      <c r="D96" s="25"/>
      <c r="E96" s="25"/>
      <c r="F96" s="25"/>
      <c r="G96" s="25"/>
      <c r="H96" s="25"/>
      <c r="I96" s="25"/>
      <c r="J96" s="25"/>
      <c r="K96" s="121"/>
      <c r="L96" s="109"/>
    </row>
    <row r="97" spans="1:12" s="19" customFormat="1" ht="28.5" customHeight="1" x14ac:dyDescent="0.2">
      <c r="A97" s="110" t="s">
        <v>341</v>
      </c>
      <c r="B97" s="567" t="str">
        <f>'Planilha Orçamentária'!D30</f>
        <v>Fôrma de chapa compensada resinada 12mm, levando-se em conta a utilização 3 vezes (incluido o material, corte,
montagem, escoramento e desfôrma)</v>
      </c>
      <c r="C97" s="568"/>
      <c r="D97" s="568"/>
      <c r="E97" s="25"/>
      <c r="F97" s="25"/>
      <c r="G97" s="25"/>
      <c r="H97" s="25"/>
      <c r="I97" s="25"/>
      <c r="J97" s="25"/>
      <c r="K97" s="121"/>
      <c r="L97" s="109"/>
    </row>
    <row r="98" spans="1:12" s="19" customFormat="1" ht="15" customHeight="1" x14ac:dyDescent="0.2">
      <c r="A98" s="110"/>
      <c r="B98" s="112" t="s">
        <v>442</v>
      </c>
      <c r="C98" s="24">
        <v>2</v>
      </c>
      <c r="D98" s="113">
        <f>3.65*2</f>
        <v>7.3</v>
      </c>
      <c r="E98" s="24">
        <v>0.3</v>
      </c>
      <c r="F98" s="24"/>
      <c r="G98" s="24"/>
      <c r="H98" s="24"/>
      <c r="I98" s="24"/>
      <c r="J98" s="24"/>
      <c r="K98" s="114">
        <f>TRUNC(E98*D98*C98,2)</f>
        <v>4.38</v>
      </c>
      <c r="L98" s="111"/>
    </row>
    <row r="99" spans="1:12" s="19" customFormat="1" ht="15" customHeight="1" x14ac:dyDescent="0.2">
      <c r="A99" s="110"/>
      <c r="B99" s="112" t="s">
        <v>443</v>
      </c>
      <c r="C99" s="24">
        <v>1</v>
      </c>
      <c r="D99" s="113">
        <f>3.7*2</f>
        <v>7.4</v>
      </c>
      <c r="E99" s="24">
        <v>0.3</v>
      </c>
      <c r="F99" s="24"/>
      <c r="G99" s="24"/>
      <c r="H99" s="24"/>
      <c r="I99" s="24"/>
      <c r="J99" s="24"/>
      <c r="K99" s="114">
        <f t="shared" ref="K99:K109" si="4">TRUNC(E99*D99*C99,2)</f>
        <v>2.2200000000000002</v>
      </c>
      <c r="L99" s="111"/>
    </row>
    <row r="100" spans="1:12" s="19" customFormat="1" ht="15" customHeight="1" x14ac:dyDescent="0.2">
      <c r="A100" s="110"/>
      <c r="B100" s="112" t="s">
        <v>444</v>
      </c>
      <c r="C100" s="24">
        <v>2</v>
      </c>
      <c r="D100" s="113">
        <f>1.45*2</f>
        <v>2.9</v>
      </c>
      <c r="E100" s="24">
        <v>0.3</v>
      </c>
      <c r="F100" s="24"/>
      <c r="G100" s="24"/>
      <c r="H100" s="24"/>
      <c r="I100" s="24"/>
      <c r="J100" s="24"/>
      <c r="K100" s="114">
        <f t="shared" si="4"/>
        <v>1.74</v>
      </c>
      <c r="L100" s="111"/>
    </row>
    <row r="101" spans="1:12" s="19" customFormat="1" ht="15" customHeight="1" x14ac:dyDescent="0.2">
      <c r="A101" s="110"/>
      <c r="B101" s="112" t="s">
        <v>445</v>
      </c>
      <c r="C101" s="24">
        <v>1</v>
      </c>
      <c r="D101" s="113">
        <f>1*2</f>
        <v>2</v>
      </c>
      <c r="E101" s="24">
        <v>0.3</v>
      </c>
      <c r="F101" s="24"/>
      <c r="G101" s="24"/>
      <c r="H101" s="24"/>
      <c r="I101" s="24"/>
      <c r="J101" s="24"/>
      <c r="K101" s="114">
        <f t="shared" si="4"/>
        <v>0.6</v>
      </c>
      <c r="L101" s="111"/>
    </row>
    <row r="102" spans="1:12" s="19" customFormat="1" ht="15" customHeight="1" x14ac:dyDescent="0.2">
      <c r="A102" s="110"/>
      <c r="B102" s="112" t="s">
        <v>453</v>
      </c>
      <c r="C102" s="24">
        <v>2</v>
      </c>
      <c r="D102" s="113">
        <f>6.35*2</f>
        <v>12.7</v>
      </c>
      <c r="E102" s="24">
        <v>0.3</v>
      </c>
      <c r="F102" s="24"/>
      <c r="G102" s="24"/>
      <c r="H102" s="24"/>
      <c r="I102" s="24"/>
      <c r="J102" s="24"/>
      <c r="K102" s="114">
        <f t="shared" si="4"/>
        <v>7.62</v>
      </c>
      <c r="L102" s="111"/>
    </row>
    <row r="103" spans="1:12" s="19" customFormat="1" ht="15" customHeight="1" x14ac:dyDescent="0.2">
      <c r="A103" s="110"/>
      <c r="B103" s="112" t="s">
        <v>446</v>
      </c>
      <c r="C103" s="24">
        <v>1</v>
      </c>
      <c r="D103" s="113">
        <f>6.25*2</f>
        <v>12.5</v>
      </c>
      <c r="E103" s="24">
        <v>0.3</v>
      </c>
      <c r="F103" s="24"/>
      <c r="G103" s="24"/>
      <c r="H103" s="24"/>
      <c r="I103" s="24"/>
      <c r="J103" s="24"/>
      <c r="K103" s="114">
        <f t="shared" si="4"/>
        <v>3.75</v>
      </c>
      <c r="L103" s="111"/>
    </row>
    <row r="104" spans="1:12" s="19" customFormat="1" ht="15" customHeight="1" x14ac:dyDescent="0.2">
      <c r="A104" s="110"/>
      <c r="B104" s="112" t="s">
        <v>447</v>
      </c>
      <c r="C104" s="24">
        <v>1</v>
      </c>
      <c r="D104" s="113">
        <f>5*2</f>
        <v>10</v>
      </c>
      <c r="E104" s="24">
        <v>0.3</v>
      </c>
      <c r="F104" s="24"/>
      <c r="G104" s="24"/>
      <c r="H104" s="24"/>
      <c r="I104" s="24"/>
      <c r="J104" s="24"/>
      <c r="K104" s="114">
        <f t="shared" si="4"/>
        <v>3</v>
      </c>
      <c r="L104" s="111"/>
    </row>
    <row r="105" spans="1:12" s="19" customFormat="1" ht="15" customHeight="1" x14ac:dyDescent="0.2">
      <c r="A105" s="110"/>
      <c r="B105" s="112" t="s">
        <v>448</v>
      </c>
      <c r="C105" s="24">
        <v>2</v>
      </c>
      <c r="D105" s="113">
        <f>4.9*2</f>
        <v>9.8000000000000007</v>
      </c>
      <c r="E105" s="24">
        <v>0.3</v>
      </c>
      <c r="F105" s="24"/>
      <c r="G105" s="24"/>
      <c r="H105" s="24"/>
      <c r="I105" s="24"/>
      <c r="J105" s="24"/>
      <c r="K105" s="114">
        <f t="shared" si="4"/>
        <v>5.88</v>
      </c>
      <c r="L105" s="111"/>
    </row>
    <row r="106" spans="1:12" s="19" customFormat="1" ht="15" customHeight="1" x14ac:dyDescent="0.2">
      <c r="A106" s="110"/>
      <c r="B106" s="112" t="s">
        <v>449</v>
      </c>
      <c r="C106" s="24">
        <v>9</v>
      </c>
      <c r="D106" s="113">
        <f>2.3*2</f>
        <v>4.5999999999999996</v>
      </c>
      <c r="E106" s="24">
        <v>0.3</v>
      </c>
      <c r="F106" s="24"/>
      <c r="G106" s="24"/>
      <c r="H106" s="24"/>
      <c r="I106" s="24"/>
      <c r="J106" s="24"/>
      <c r="K106" s="114">
        <f t="shared" si="4"/>
        <v>12.42</v>
      </c>
      <c r="L106" s="111"/>
    </row>
    <row r="107" spans="1:12" s="19" customFormat="1" ht="15" customHeight="1" x14ac:dyDescent="0.2">
      <c r="A107" s="110"/>
      <c r="B107" s="112" t="s">
        <v>450</v>
      </c>
      <c r="C107" s="24">
        <v>2</v>
      </c>
      <c r="D107" s="113">
        <f>3.5*2</f>
        <v>7</v>
      </c>
      <c r="E107" s="24">
        <v>0.3</v>
      </c>
      <c r="F107" s="24"/>
      <c r="G107" s="24"/>
      <c r="H107" s="24"/>
      <c r="I107" s="24"/>
      <c r="J107" s="24"/>
      <c r="K107" s="114">
        <f t="shared" si="4"/>
        <v>4.2</v>
      </c>
      <c r="L107" s="111"/>
    </row>
    <row r="108" spans="1:12" s="19" customFormat="1" ht="15" customHeight="1" x14ac:dyDescent="0.2">
      <c r="A108" s="110"/>
      <c r="B108" s="112" t="s">
        <v>451</v>
      </c>
      <c r="C108" s="24">
        <v>4</v>
      </c>
      <c r="D108" s="113">
        <f>3.8*2</f>
        <v>7.6</v>
      </c>
      <c r="E108" s="24">
        <v>0.3</v>
      </c>
      <c r="F108" s="24"/>
      <c r="G108" s="24"/>
      <c r="H108" s="24"/>
      <c r="I108" s="24"/>
      <c r="J108" s="24"/>
      <c r="K108" s="114">
        <f t="shared" si="4"/>
        <v>9.1199999999999992</v>
      </c>
      <c r="L108" s="111"/>
    </row>
    <row r="109" spans="1:12" s="19" customFormat="1" ht="15" customHeight="1" x14ac:dyDescent="0.2">
      <c r="A109" s="110"/>
      <c r="B109" s="112" t="s">
        <v>452</v>
      </c>
      <c r="C109" s="24">
        <v>2</v>
      </c>
      <c r="D109" s="113">
        <f>1.4*2</f>
        <v>2.8</v>
      </c>
      <c r="E109" s="24">
        <v>0.3</v>
      </c>
      <c r="F109" s="24"/>
      <c r="G109" s="24"/>
      <c r="H109" s="24"/>
      <c r="I109" s="24"/>
      <c r="J109" s="24"/>
      <c r="K109" s="114">
        <f t="shared" si="4"/>
        <v>1.68</v>
      </c>
      <c r="L109" s="111"/>
    </row>
    <row r="110" spans="1:12" s="19" customFormat="1" ht="15" customHeight="1" x14ac:dyDescent="0.2">
      <c r="A110" s="110"/>
      <c r="B110" s="115" t="s">
        <v>9</v>
      </c>
      <c r="C110" s="116"/>
      <c r="D110" s="117"/>
      <c r="E110" s="117"/>
      <c r="F110" s="117"/>
      <c r="G110" s="117"/>
      <c r="H110" s="117"/>
      <c r="I110" s="117"/>
      <c r="J110" s="117"/>
      <c r="K110" s="118">
        <f>SUM(K98:K109)</f>
        <v>56.61</v>
      </c>
      <c r="L110" s="119" t="s">
        <v>6</v>
      </c>
    </row>
    <row r="111" spans="1:12" s="19" customFormat="1" ht="15" customHeight="1" x14ac:dyDescent="0.2">
      <c r="A111" s="110"/>
      <c r="B111" s="221"/>
      <c r="C111" s="23"/>
      <c r="D111" s="25"/>
      <c r="E111" s="25"/>
      <c r="F111" s="25"/>
      <c r="G111" s="25"/>
      <c r="H111" s="25"/>
      <c r="I111" s="25"/>
      <c r="J111" s="25"/>
      <c r="K111" s="121"/>
      <c r="L111" s="109"/>
    </row>
    <row r="112" spans="1:12" s="19" customFormat="1" ht="12.75" x14ac:dyDescent="0.2">
      <c r="A112" s="110" t="s">
        <v>342</v>
      </c>
      <c r="B112" s="567" t="str">
        <f>'Planilha Orçamentária'!D31</f>
        <v>Fornecimento, dobragem e colocação em fôrma, de armadura CA-60 B fina, diâmetro de 4.0 a 7.0mm</v>
      </c>
      <c r="C112" s="568"/>
      <c r="D112" s="25"/>
      <c r="E112" s="25"/>
      <c r="F112" s="25"/>
      <c r="G112" s="25"/>
      <c r="H112" s="25"/>
      <c r="I112" s="25"/>
      <c r="J112" s="25"/>
      <c r="K112" s="121"/>
      <c r="L112" s="109"/>
    </row>
    <row r="113" spans="1:12" s="19" customFormat="1" ht="12.75" x14ac:dyDescent="0.2">
      <c r="A113" s="110"/>
      <c r="B113" s="122" t="s">
        <v>474</v>
      </c>
      <c r="C113" s="23"/>
      <c r="D113" s="23">
        <f>628*0.8</f>
        <v>502.40000000000003</v>
      </c>
      <c r="E113" s="23"/>
      <c r="F113" s="23"/>
      <c r="G113" s="23"/>
      <c r="H113" s="23"/>
      <c r="I113" s="317">
        <v>0.154</v>
      </c>
      <c r="J113" s="23"/>
      <c r="K113" s="114">
        <f>TRUNC(I113*D113,2)</f>
        <v>77.36</v>
      </c>
      <c r="L113" s="111"/>
    </row>
    <row r="114" spans="1:12" s="19" customFormat="1" ht="15" customHeight="1" x14ac:dyDescent="0.2">
      <c r="A114" s="110"/>
      <c r="B114" s="115" t="s">
        <v>9</v>
      </c>
      <c r="C114" s="116"/>
      <c r="D114" s="117"/>
      <c r="E114" s="117"/>
      <c r="F114" s="117"/>
      <c r="G114" s="117"/>
      <c r="H114" s="117"/>
      <c r="I114" s="117"/>
      <c r="J114" s="117"/>
      <c r="K114" s="118">
        <f>SUM(K113)</f>
        <v>77.36</v>
      </c>
      <c r="L114" s="119" t="s">
        <v>231</v>
      </c>
    </row>
    <row r="115" spans="1:12" s="19" customFormat="1" ht="15" customHeight="1" x14ac:dyDescent="0.2">
      <c r="A115" s="110"/>
      <c r="B115" s="221"/>
      <c r="C115" s="23"/>
      <c r="D115" s="25"/>
      <c r="E115" s="25"/>
      <c r="F115" s="25"/>
      <c r="G115" s="25"/>
      <c r="H115" s="25"/>
      <c r="I115" s="25"/>
      <c r="J115" s="25"/>
      <c r="K115" s="121"/>
      <c r="L115" s="109"/>
    </row>
    <row r="116" spans="1:12" s="19" customFormat="1" ht="12.75" x14ac:dyDescent="0.2">
      <c r="A116" s="110" t="s">
        <v>343</v>
      </c>
      <c r="B116" s="567" t="str">
        <f>'Planilha Orçamentária'!D32</f>
        <v>Fornecimento, dobragem e colocação em fôrma, de armadura CA-50 A média, diâmetro de 6.3 a 10.0 mm</v>
      </c>
      <c r="C116" s="568"/>
      <c r="D116" s="25"/>
      <c r="E116" s="25"/>
      <c r="F116" s="25"/>
      <c r="G116" s="25"/>
      <c r="H116" s="25"/>
      <c r="I116" s="25"/>
      <c r="J116" s="25"/>
      <c r="K116" s="121"/>
      <c r="L116" s="109"/>
    </row>
    <row r="117" spans="1:12" s="19" customFormat="1" ht="12.75" x14ac:dyDescent="0.2">
      <c r="A117" s="110"/>
      <c r="B117" s="122" t="s">
        <v>487</v>
      </c>
      <c r="C117" s="23"/>
      <c r="D117" s="23">
        <f>2*104.21</f>
        <v>208.42</v>
      </c>
      <c r="E117" s="23"/>
      <c r="F117" s="23"/>
      <c r="G117" s="23"/>
      <c r="H117" s="23"/>
      <c r="I117" s="317">
        <v>0.39500000000000002</v>
      </c>
      <c r="J117" s="23"/>
      <c r="K117" s="114">
        <f>TRUNC(I117*D117,2)</f>
        <v>82.32</v>
      </c>
      <c r="L117" s="109"/>
    </row>
    <row r="118" spans="1:12" s="19" customFormat="1" ht="12.75" x14ac:dyDescent="0.2">
      <c r="A118" s="110"/>
      <c r="B118" s="122" t="s">
        <v>488</v>
      </c>
      <c r="C118" s="23"/>
      <c r="D118" s="23">
        <f t="shared" ref="D118:D119" si="5">2*104.21</f>
        <v>208.42</v>
      </c>
      <c r="E118" s="25"/>
      <c r="F118" s="25"/>
      <c r="G118" s="25"/>
      <c r="H118" s="25"/>
      <c r="I118" s="317">
        <v>0.61699999999999999</v>
      </c>
      <c r="J118" s="317"/>
      <c r="K118" s="114">
        <f t="shared" ref="K118:K119" si="6">TRUNC(I118*D118,2)</f>
        <v>128.59</v>
      </c>
      <c r="L118" s="109"/>
    </row>
    <row r="119" spans="1:12" s="19" customFormat="1" ht="12.75" x14ac:dyDescent="0.2">
      <c r="A119" s="110"/>
      <c r="B119" s="122" t="s">
        <v>489</v>
      </c>
      <c r="C119" s="24"/>
      <c r="D119" s="23">
        <f t="shared" si="5"/>
        <v>208.42</v>
      </c>
      <c r="E119" s="24"/>
      <c r="F119" s="24"/>
      <c r="G119" s="24"/>
      <c r="H119" s="24"/>
      <c r="I119" s="318">
        <v>0.61699999999999999</v>
      </c>
      <c r="J119" s="318"/>
      <c r="K119" s="114">
        <f t="shared" si="6"/>
        <v>128.59</v>
      </c>
      <c r="L119" s="109"/>
    </row>
    <row r="120" spans="1:12" s="19" customFormat="1" ht="15" customHeight="1" x14ac:dyDescent="0.2">
      <c r="A120" s="110"/>
      <c r="B120" s="115" t="s">
        <v>9</v>
      </c>
      <c r="C120" s="116"/>
      <c r="D120" s="117"/>
      <c r="E120" s="117"/>
      <c r="F120" s="117"/>
      <c r="G120" s="117"/>
      <c r="H120" s="117"/>
      <c r="I120" s="117"/>
      <c r="J120" s="117"/>
      <c r="K120" s="118">
        <f>SUM(K117:K119)</f>
        <v>339.5</v>
      </c>
      <c r="L120" s="119" t="s">
        <v>231</v>
      </c>
    </row>
    <row r="121" spans="1:12" s="19" customFormat="1" ht="15" customHeight="1" x14ac:dyDescent="0.2">
      <c r="A121" s="110"/>
      <c r="B121" s="221"/>
      <c r="C121" s="23"/>
      <c r="D121" s="25"/>
      <c r="E121" s="25"/>
      <c r="F121" s="25"/>
      <c r="G121" s="25"/>
      <c r="H121" s="25"/>
      <c r="I121" s="25"/>
      <c r="J121" s="25"/>
      <c r="K121" s="121"/>
      <c r="L121" s="109"/>
    </row>
    <row r="122" spans="1:12" s="19" customFormat="1" ht="12.75" x14ac:dyDescent="0.2">
      <c r="A122" s="110" t="s">
        <v>344</v>
      </c>
      <c r="B122" s="567" t="str">
        <f>'Planilha Orçamentária'!D33</f>
        <v>Fornecimento, preparo e aplicação de concreto Fck=25 MPa (brita 1 e 2) - (5% de perdas já incluído no custo)</v>
      </c>
      <c r="C122" s="568"/>
      <c r="D122" s="25"/>
      <c r="E122" s="25"/>
      <c r="F122" s="25"/>
      <c r="G122" s="25"/>
      <c r="H122" s="25"/>
      <c r="I122" s="25"/>
      <c r="J122" s="25"/>
      <c r="K122" s="121"/>
      <c r="L122" s="109"/>
    </row>
    <row r="123" spans="1:12" s="19" customFormat="1" ht="12.75" x14ac:dyDescent="0.2">
      <c r="A123" s="110"/>
      <c r="B123" s="112" t="s">
        <v>462</v>
      </c>
      <c r="C123" s="24">
        <v>2</v>
      </c>
      <c r="D123" s="23">
        <v>3.65</v>
      </c>
      <c r="E123" s="23">
        <v>0.15</v>
      </c>
      <c r="F123" s="23">
        <v>0.3</v>
      </c>
      <c r="G123" s="23"/>
      <c r="H123" s="23">
        <f>F123*E123*D123</f>
        <v>0.16424999999999998</v>
      </c>
      <c r="I123" s="317"/>
      <c r="J123" s="317"/>
      <c r="K123" s="114">
        <f>TRUNC(H123*C123,2)</f>
        <v>0.32</v>
      </c>
      <c r="L123" s="109"/>
    </row>
    <row r="124" spans="1:12" s="19" customFormat="1" ht="12.75" x14ac:dyDescent="0.2">
      <c r="A124" s="110"/>
      <c r="B124" s="112" t="s">
        <v>490</v>
      </c>
      <c r="C124" s="24">
        <v>1</v>
      </c>
      <c r="D124" s="23">
        <v>3.7</v>
      </c>
      <c r="E124" s="23">
        <v>0.15</v>
      </c>
      <c r="F124" s="23">
        <v>0.3</v>
      </c>
      <c r="G124" s="23"/>
      <c r="H124" s="23">
        <f t="shared" ref="H124:H134" si="7">F124*E124*D124</f>
        <v>0.16650000000000001</v>
      </c>
      <c r="I124" s="317"/>
      <c r="J124" s="317"/>
      <c r="K124" s="114">
        <f t="shared" ref="K124:K134" si="8">TRUNC(H124*C124,2)</f>
        <v>0.16</v>
      </c>
      <c r="L124" s="109"/>
    </row>
    <row r="125" spans="1:12" s="19" customFormat="1" ht="12.75" x14ac:dyDescent="0.2">
      <c r="A125" s="110"/>
      <c r="B125" s="112" t="s">
        <v>491</v>
      </c>
      <c r="C125" s="24">
        <v>2</v>
      </c>
      <c r="D125" s="23">
        <v>1.45</v>
      </c>
      <c r="E125" s="23">
        <v>0.15</v>
      </c>
      <c r="F125" s="23">
        <v>0.3</v>
      </c>
      <c r="G125" s="23"/>
      <c r="H125" s="23">
        <f t="shared" si="7"/>
        <v>6.5250000000000002E-2</v>
      </c>
      <c r="I125" s="317"/>
      <c r="J125" s="317"/>
      <c r="K125" s="114">
        <f t="shared" si="8"/>
        <v>0.13</v>
      </c>
      <c r="L125" s="109"/>
    </row>
    <row r="126" spans="1:12" s="19" customFormat="1" ht="12.75" x14ac:dyDescent="0.2">
      <c r="A126" s="110"/>
      <c r="B126" s="112" t="s">
        <v>465</v>
      </c>
      <c r="C126" s="24">
        <v>1</v>
      </c>
      <c r="D126" s="23">
        <v>1</v>
      </c>
      <c r="E126" s="23">
        <v>0.15</v>
      </c>
      <c r="F126" s="23">
        <v>0.3</v>
      </c>
      <c r="G126" s="23"/>
      <c r="H126" s="23">
        <f t="shared" si="7"/>
        <v>4.4999999999999998E-2</v>
      </c>
      <c r="I126" s="317"/>
      <c r="J126" s="317"/>
      <c r="K126" s="114">
        <f t="shared" si="8"/>
        <v>0.04</v>
      </c>
      <c r="L126" s="109"/>
    </row>
    <row r="127" spans="1:12" s="19" customFormat="1" ht="12.75" x14ac:dyDescent="0.2">
      <c r="A127" s="110"/>
      <c r="B127" s="112" t="s">
        <v>466</v>
      </c>
      <c r="C127" s="24">
        <v>2</v>
      </c>
      <c r="D127" s="23">
        <v>6.35</v>
      </c>
      <c r="E127" s="23">
        <v>0.15</v>
      </c>
      <c r="F127" s="23">
        <v>0.3</v>
      </c>
      <c r="G127" s="23"/>
      <c r="H127" s="23">
        <f t="shared" si="7"/>
        <v>0.28574999999999995</v>
      </c>
      <c r="I127" s="317"/>
      <c r="J127" s="317"/>
      <c r="K127" s="114">
        <f t="shared" si="8"/>
        <v>0.56999999999999995</v>
      </c>
      <c r="L127" s="109"/>
    </row>
    <row r="128" spans="1:12" s="19" customFormat="1" ht="12.75" x14ac:dyDescent="0.2">
      <c r="A128" s="110"/>
      <c r="B128" s="112" t="s">
        <v>467</v>
      </c>
      <c r="C128" s="24">
        <v>1</v>
      </c>
      <c r="D128" s="23">
        <v>6.25</v>
      </c>
      <c r="E128" s="23">
        <v>0.15</v>
      </c>
      <c r="F128" s="23">
        <v>0.3</v>
      </c>
      <c r="G128" s="23"/>
      <c r="H128" s="23">
        <f t="shared" si="7"/>
        <v>0.28125</v>
      </c>
      <c r="I128" s="317"/>
      <c r="J128" s="317"/>
      <c r="K128" s="114">
        <f t="shared" si="8"/>
        <v>0.28000000000000003</v>
      </c>
      <c r="L128" s="109"/>
    </row>
    <row r="129" spans="1:12" s="19" customFormat="1" ht="12.75" x14ac:dyDescent="0.2">
      <c r="A129" s="110"/>
      <c r="B129" s="112" t="s">
        <v>468</v>
      </c>
      <c r="C129" s="24">
        <v>1</v>
      </c>
      <c r="D129" s="23">
        <v>5</v>
      </c>
      <c r="E129" s="23">
        <v>0.15</v>
      </c>
      <c r="F129" s="23">
        <v>0.3</v>
      </c>
      <c r="G129" s="23"/>
      <c r="H129" s="23">
        <f t="shared" si="7"/>
        <v>0.22499999999999998</v>
      </c>
      <c r="I129" s="317"/>
      <c r="J129" s="317"/>
      <c r="K129" s="114">
        <f t="shared" si="8"/>
        <v>0.22</v>
      </c>
      <c r="L129" s="109"/>
    </row>
    <row r="130" spans="1:12" s="19" customFormat="1" ht="12.75" x14ac:dyDescent="0.2">
      <c r="A130" s="110"/>
      <c r="B130" s="112" t="s">
        <v>469</v>
      </c>
      <c r="C130" s="24">
        <v>2</v>
      </c>
      <c r="D130" s="23">
        <v>4.9000000000000004</v>
      </c>
      <c r="E130" s="23">
        <v>0.15</v>
      </c>
      <c r="F130" s="23">
        <v>0.3</v>
      </c>
      <c r="G130" s="23"/>
      <c r="H130" s="23">
        <f t="shared" si="7"/>
        <v>0.2205</v>
      </c>
      <c r="I130" s="317"/>
      <c r="J130" s="317"/>
      <c r="K130" s="114">
        <f t="shared" si="8"/>
        <v>0.44</v>
      </c>
      <c r="L130" s="109"/>
    </row>
    <row r="131" spans="1:12" s="19" customFormat="1" ht="12.75" x14ac:dyDescent="0.2">
      <c r="A131" s="110"/>
      <c r="B131" s="112" t="s">
        <v>470</v>
      </c>
      <c r="C131" s="24">
        <v>9</v>
      </c>
      <c r="D131" s="23">
        <v>2.2999999999999998</v>
      </c>
      <c r="E131" s="23">
        <v>0.15</v>
      </c>
      <c r="F131" s="23">
        <v>0.3</v>
      </c>
      <c r="G131" s="23"/>
      <c r="H131" s="23">
        <f t="shared" si="7"/>
        <v>0.10349999999999999</v>
      </c>
      <c r="I131" s="317"/>
      <c r="J131" s="317"/>
      <c r="K131" s="114">
        <f t="shared" si="8"/>
        <v>0.93</v>
      </c>
      <c r="L131" s="109"/>
    </row>
    <row r="132" spans="1:12" s="19" customFormat="1" ht="12.75" x14ac:dyDescent="0.2">
      <c r="A132" s="110"/>
      <c r="B132" s="112" t="s">
        <v>471</v>
      </c>
      <c r="C132" s="24">
        <v>2</v>
      </c>
      <c r="D132" s="23">
        <v>3.5</v>
      </c>
      <c r="E132" s="23">
        <v>0.15</v>
      </c>
      <c r="F132" s="23">
        <v>0.3</v>
      </c>
      <c r="G132" s="23"/>
      <c r="H132" s="23">
        <f t="shared" si="7"/>
        <v>0.1575</v>
      </c>
      <c r="I132" s="317"/>
      <c r="J132" s="317"/>
      <c r="K132" s="114">
        <f t="shared" si="8"/>
        <v>0.31</v>
      </c>
      <c r="L132" s="109"/>
    </row>
    <row r="133" spans="1:12" s="19" customFormat="1" ht="12.75" x14ac:dyDescent="0.2">
      <c r="A133" s="110"/>
      <c r="B133" s="112" t="s">
        <v>472</v>
      </c>
      <c r="C133" s="24">
        <v>4</v>
      </c>
      <c r="D133" s="23">
        <v>3.8</v>
      </c>
      <c r="E133" s="23">
        <v>0.15</v>
      </c>
      <c r="F133" s="23">
        <v>0.3</v>
      </c>
      <c r="G133" s="23"/>
      <c r="H133" s="23">
        <f t="shared" si="7"/>
        <v>0.17099999999999999</v>
      </c>
      <c r="I133" s="317"/>
      <c r="J133" s="317"/>
      <c r="K133" s="114">
        <f t="shared" si="8"/>
        <v>0.68</v>
      </c>
      <c r="L133" s="109"/>
    </row>
    <row r="134" spans="1:12" s="19" customFormat="1" ht="12.75" x14ac:dyDescent="0.2">
      <c r="A134" s="110"/>
      <c r="B134" s="112" t="s">
        <v>473</v>
      </c>
      <c r="C134" s="24">
        <v>2</v>
      </c>
      <c r="D134" s="23">
        <v>1.4</v>
      </c>
      <c r="E134" s="23">
        <v>0.15</v>
      </c>
      <c r="F134" s="23">
        <v>0.3</v>
      </c>
      <c r="G134" s="23"/>
      <c r="H134" s="23">
        <f t="shared" si="7"/>
        <v>6.3E-2</v>
      </c>
      <c r="I134" s="317"/>
      <c r="J134" s="317"/>
      <c r="K134" s="114">
        <f t="shared" si="8"/>
        <v>0.12</v>
      </c>
      <c r="L134" s="109"/>
    </row>
    <row r="135" spans="1:12" s="19" customFormat="1" ht="12.75" x14ac:dyDescent="0.2">
      <c r="A135" s="110"/>
      <c r="B135" s="115" t="s">
        <v>9</v>
      </c>
      <c r="C135" s="116"/>
      <c r="D135" s="117"/>
      <c r="E135" s="117"/>
      <c r="F135" s="117"/>
      <c r="G135" s="117"/>
      <c r="H135" s="117"/>
      <c r="I135" s="117"/>
      <c r="J135" s="117"/>
      <c r="K135" s="118">
        <f>SUM(K123:K134)</f>
        <v>4.2</v>
      </c>
      <c r="L135" s="119" t="s">
        <v>303</v>
      </c>
    </row>
    <row r="136" spans="1:12" s="19" customFormat="1" ht="12.75" x14ac:dyDescent="0.2">
      <c r="A136" s="110"/>
      <c r="B136" s="221"/>
      <c r="C136" s="23"/>
      <c r="D136" s="25"/>
      <c r="E136" s="25"/>
      <c r="F136" s="25"/>
      <c r="G136" s="25"/>
      <c r="H136" s="25"/>
      <c r="I136" s="25"/>
      <c r="J136" s="25"/>
      <c r="K136" s="121"/>
      <c r="L136" s="109"/>
    </row>
    <row r="137" spans="1:12" s="19" customFormat="1" ht="12.75" x14ac:dyDescent="0.2">
      <c r="A137" s="375" t="s">
        <v>345</v>
      </c>
      <c r="B137" s="125" t="str">
        <f>'Planilha Orçamentária'!D34</f>
        <v>Pilares</v>
      </c>
      <c r="C137" s="23"/>
      <c r="D137" s="25"/>
      <c r="E137" s="25"/>
      <c r="F137" s="25"/>
      <c r="G137" s="25"/>
      <c r="H137" s="25"/>
      <c r="I137" s="25"/>
      <c r="J137" s="25"/>
      <c r="K137" s="121"/>
      <c r="L137" s="109"/>
    </row>
    <row r="138" spans="1:12" s="19" customFormat="1" ht="25.5" customHeight="1" x14ac:dyDescent="0.2">
      <c r="A138" s="110" t="s">
        <v>347</v>
      </c>
      <c r="B138" s="567" t="str">
        <f>'Planilha Orçamentária'!D35</f>
        <v>Fôrma de chapa compensada resinada 12mm, levando-se em conta a utilização 3 vezes (incluido o material, corte,
montagem, escoramento e desfôrma)</v>
      </c>
      <c r="C138" s="568"/>
      <c r="D138" s="568"/>
      <c r="E138" s="25"/>
      <c r="F138" s="25"/>
      <c r="G138" s="25"/>
      <c r="H138" s="25"/>
      <c r="I138" s="25"/>
      <c r="J138" s="25"/>
      <c r="K138" s="121"/>
      <c r="L138" s="109"/>
    </row>
    <row r="139" spans="1:12" s="19" customFormat="1" ht="12.75" x14ac:dyDescent="0.2">
      <c r="A139" s="110"/>
      <c r="B139" s="122" t="s">
        <v>507</v>
      </c>
      <c r="C139" s="23">
        <v>7</v>
      </c>
      <c r="D139" s="23">
        <v>0.35</v>
      </c>
      <c r="E139" s="23">
        <v>0.15</v>
      </c>
      <c r="F139" s="23">
        <v>3</v>
      </c>
      <c r="G139" s="23">
        <f>(D139*F139*I139)+(E139*F139*I139)</f>
        <v>2.9999999999999996</v>
      </c>
      <c r="H139" s="23"/>
      <c r="I139" s="23">
        <v>2</v>
      </c>
      <c r="J139" s="23"/>
      <c r="K139" s="114">
        <f>TRUNC(G139*C139,2)</f>
        <v>21</v>
      </c>
      <c r="L139" s="109"/>
    </row>
    <row r="140" spans="1:12" s="19" customFormat="1" ht="12.75" x14ac:dyDescent="0.2">
      <c r="A140" s="110"/>
      <c r="B140" s="122" t="s">
        <v>505</v>
      </c>
      <c r="C140" s="23">
        <v>2</v>
      </c>
      <c r="D140" s="23">
        <v>0.35</v>
      </c>
      <c r="E140" s="23">
        <v>0.15</v>
      </c>
      <c r="F140" s="23">
        <v>6</v>
      </c>
      <c r="G140" s="23">
        <f>(D140*F140*I140)+(E140*F140*I140)</f>
        <v>5.9999999999999991</v>
      </c>
      <c r="H140" s="23"/>
      <c r="I140" s="23">
        <v>2</v>
      </c>
      <c r="J140" s="23"/>
      <c r="K140" s="114">
        <f t="shared" ref="K140:K142" si="9">TRUNC(G140*C140,2)</f>
        <v>12</v>
      </c>
      <c r="L140" s="109"/>
    </row>
    <row r="141" spans="1:12" s="19" customFormat="1" ht="12.75" x14ac:dyDescent="0.2">
      <c r="A141" s="110"/>
      <c r="B141" s="122" t="s">
        <v>475</v>
      </c>
      <c r="C141" s="23">
        <v>6</v>
      </c>
      <c r="D141" s="23">
        <v>0.5</v>
      </c>
      <c r="E141" s="23">
        <v>0.2</v>
      </c>
      <c r="F141" s="23">
        <v>6</v>
      </c>
      <c r="G141" s="23">
        <f t="shared" ref="G141:G142" si="10">(D141*F141*I141)+(E141*F141*I141)</f>
        <v>8.4</v>
      </c>
      <c r="H141" s="23"/>
      <c r="I141" s="23">
        <v>2</v>
      </c>
      <c r="J141" s="23"/>
      <c r="K141" s="114">
        <f t="shared" si="9"/>
        <v>50.4</v>
      </c>
      <c r="L141" s="109"/>
    </row>
    <row r="142" spans="1:12" s="19" customFormat="1" ht="12.75" x14ac:dyDescent="0.2">
      <c r="A142" s="110"/>
      <c r="B142" s="122" t="s">
        <v>506</v>
      </c>
      <c r="C142" s="23">
        <v>6</v>
      </c>
      <c r="D142" s="23">
        <v>0.35</v>
      </c>
      <c r="E142" s="23">
        <v>0.15</v>
      </c>
      <c r="F142" s="23">
        <v>1</v>
      </c>
      <c r="G142" s="23">
        <f t="shared" si="10"/>
        <v>1</v>
      </c>
      <c r="H142" s="23"/>
      <c r="I142" s="23">
        <v>2</v>
      </c>
      <c r="J142" s="23"/>
      <c r="K142" s="114">
        <f t="shared" si="9"/>
        <v>6</v>
      </c>
      <c r="L142" s="109"/>
    </row>
    <row r="143" spans="1:12" s="19" customFormat="1" ht="12.75" x14ac:dyDescent="0.2">
      <c r="A143" s="110"/>
      <c r="B143" s="115" t="s">
        <v>9</v>
      </c>
      <c r="C143" s="116"/>
      <c r="D143" s="117"/>
      <c r="E143" s="117"/>
      <c r="F143" s="117"/>
      <c r="G143" s="117"/>
      <c r="H143" s="117"/>
      <c r="I143" s="116" t="s">
        <v>481</v>
      </c>
      <c r="J143" s="117"/>
      <c r="K143" s="118">
        <f>SUM(K139:K142)</f>
        <v>89.4</v>
      </c>
      <c r="L143" s="119" t="s">
        <v>6</v>
      </c>
    </row>
    <row r="144" spans="1:12" s="19" customFormat="1" ht="12.75" x14ac:dyDescent="0.2">
      <c r="A144" s="110"/>
      <c r="B144" s="221"/>
      <c r="C144" s="23"/>
      <c r="D144" s="25"/>
      <c r="E144" s="25"/>
      <c r="F144" s="25"/>
      <c r="G144" s="25"/>
      <c r="H144" s="25"/>
      <c r="I144" s="25"/>
      <c r="J144" s="25"/>
      <c r="K144" s="121"/>
      <c r="L144" s="109"/>
    </row>
    <row r="145" spans="1:12" s="19" customFormat="1" ht="12.75" x14ac:dyDescent="0.2">
      <c r="A145" s="110" t="s">
        <v>348</v>
      </c>
      <c r="B145" s="567" t="str">
        <f>'Planilha Orçamentária'!D36</f>
        <v>Fornecimento, dobragem e colocação em fôrma, de armadura CA-50 A grossa, diâmetro de 12.5 a 25.0mm</v>
      </c>
      <c r="C145" s="568"/>
      <c r="D145" s="25"/>
      <c r="E145" s="25"/>
      <c r="F145" s="25"/>
      <c r="G145" s="25"/>
      <c r="H145" s="25"/>
      <c r="I145" s="25"/>
      <c r="J145" s="25"/>
      <c r="K145" s="121"/>
      <c r="L145" s="109"/>
    </row>
    <row r="146" spans="1:12" s="19" customFormat="1" ht="12.75" x14ac:dyDescent="0.2">
      <c r="A146" s="110"/>
      <c r="B146" s="122" t="s">
        <v>508</v>
      </c>
      <c r="C146" s="23">
        <v>7</v>
      </c>
      <c r="D146" s="23">
        <f>2.98*4</f>
        <v>11.92</v>
      </c>
      <c r="E146" s="23"/>
      <c r="F146" s="23"/>
      <c r="G146" s="23"/>
      <c r="H146" s="23"/>
      <c r="I146" s="317">
        <v>0.96299999999999997</v>
      </c>
      <c r="J146" s="23"/>
      <c r="K146" s="114">
        <f>TRUNC(I146*D146*C146,2)</f>
        <v>80.349999999999994</v>
      </c>
      <c r="L146" s="109"/>
    </row>
    <row r="147" spans="1:12" s="19" customFormat="1" ht="12.75" x14ac:dyDescent="0.2">
      <c r="A147" s="110"/>
      <c r="B147" s="122" t="s">
        <v>509</v>
      </c>
      <c r="C147" s="23">
        <v>2</v>
      </c>
      <c r="D147" s="23">
        <f>3.95*4</f>
        <v>15.8</v>
      </c>
      <c r="E147" s="23"/>
      <c r="F147" s="23"/>
      <c r="G147" s="23"/>
      <c r="H147" s="23"/>
      <c r="I147" s="317">
        <v>0.96299999999999997</v>
      </c>
      <c r="J147" s="23"/>
      <c r="K147" s="114">
        <f t="shared" ref="K147:K151" si="11">TRUNC(I147*D147*C147,2)</f>
        <v>30.43</v>
      </c>
      <c r="L147" s="109"/>
    </row>
    <row r="148" spans="1:12" s="19" customFormat="1" ht="12.75" x14ac:dyDescent="0.2">
      <c r="A148" s="110"/>
      <c r="B148" s="122" t="s">
        <v>503</v>
      </c>
      <c r="C148" s="23">
        <v>2</v>
      </c>
      <c r="D148" s="23">
        <f>4*3.15</f>
        <v>12.6</v>
      </c>
      <c r="E148" s="23"/>
      <c r="F148" s="23"/>
      <c r="G148" s="23"/>
      <c r="H148" s="23"/>
      <c r="I148" s="317">
        <v>0.96299999999999997</v>
      </c>
      <c r="J148" s="23"/>
      <c r="K148" s="114">
        <f t="shared" si="11"/>
        <v>24.26</v>
      </c>
      <c r="L148" s="109"/>
    </row>
    <row r="149" spans="1:12" s="19" customFormat="1" ht="12.75" x14ac:dyDescent="0.2">
      <c r="A149" s="110"/>
      <c r="B149" s="122" t="s">
        <v>485</v>
      </c>
      <c r="C149" s="23">
        <v>6</v>
      </c>
      <c r="D149" s="23">
        <f>4*6.15</f>
        <v>24.6</v>
      </c>
      <c r="E149" s="23"/>
      <c r="F149" s="23"/>
      <c r="G149" s="23"/>
      <c r="H149" s="23"/>
      <c r="I149" s="317">
        <v>0.96299999999999997</v>
      </c>
      <c r="J149" s="23"/>
      <c r="K149" s="114">
        <f t="shared" si="11"/>
        <v>142.13</v>
      </c>
      <c r="L149" s="109"/>
    </row>
    <row r="150" spans="1:12" s="19" customFormat="1" ht="12.75" x14ac:dyDescent="0.2">
      <c r="A150" s="110"/>
      <c r="B150" s="122" t="s">
        <v>486</v>
      </c>
      <c r="C150" s="23">
        <v>6</v>
      </c>
      <c r="D150" s="23">
        <f>2*6.25</f>
        <v>12.5</v>
      </c>
      <c r="E150" s="23"/>
      <c r="F150" s="23"/>
      <c r="G150" s="23"/>
      <c r="H150" s="23"/>
      <c r="I150" s="317">
        <v>0.96299999999999997</v>
      </c>
      <c r="J150" s="23"/>
      <c r="K150" s="114">
        <f t="shared" si="11"/>
        <v>72.22</v>
      </c>
      <c r="L150" s="109"/>
    </row>
    <row r="151" spans="1:12" s="19" customFormat="1" ht="12.75" x14ac:dyDescent="0.2">
      <c r="A151" s="110"/>
      <c r="B151" s="122" t="s">
        <v>492</v>
      </c>
      <c r="C151" s="23">
        <v>6</v>
      </c>
      <c r="D151" s="23">
        <f>4*2.48</f>
        <v>9.92</v>
      </c>
      <c r="E151" s="23"/>
      <c r="F151" s="23"/>
      <c r="G151" s="23"/>
      <c r="H151" s="23"/>
      <c r="I151" s="317">
        <v>0.96299999999999997</v>
      </c>
      <c r="J151" s="23"/>
      <c r="K151" s="114">
        <f t="shared" si="11"/>
        <v>57.31</v>
      </c>
      <c r="L151" s="109"/>
    </row>
    <row r="152" spans="1:12" s="19" customFormat="1" ht="12.75" x14ac:dyDescent="0.2">
      <c r="A152" s="110"/>
      <c r="B152" s="115" t="s">
        <v>9</v>
      </c>
      <c r="C152" s="116"/>
      <c r="D152" s="117"/>
      <c r="E152" s="117"/>
      <c r="F152" s="117"/>
      <c r="G152" s="117"/>
      <c r="H152" s="117"/>
      <c r="I152" s="117"/>
      <c r="J152" s="117"/>
      <c r="K152" s="118">
        <f>SUM(K146:K151)</f>
        <v>406.7</v>
      </c>
      <c r="L152" s="119" t="s">
        <v>231</v>
      </c>
    </row>
    <row r="153" spans="1:12" s="19" customFormat="1" ht="12.75" x14ac:dyDescent="0.2">
      <c r="A153" s="110"/>
      <c r="B153" s="221"/>
      <c r="C153" s="23"/>
      <c r="D153" s="25"/>
      <c r="E153" s="25"/>
      <c r="F153" s="25"/>
      <c r="G153" s="25"/>
      <c r="H153" s="25"/>
      <c r="I153" s="25"/>
      <c r="J153" s="25"/>
      <c r="K153" s="121"/>
      <c r="L153" s="109"/>
    </row>
    <row r="154" spans="1:12" s="19" customFormat="1" ht="12.75" x14ac:dyDescent="0.2">
      <c r="A154" s="110" t="s">
        <v>349</v>
      </c>
      <c r="B154" s="567" t="str">
        <f>'Planilha Orçamentária'!D37</f>
        <v>Fornecimento, dobragem e colocação em fôrma, de armadura CA-50 A média, diâmetro de 6.3 a 10.0 mm</v>
      </c>
      <c r="C154" s="568"/>
      <c r="D154" s="25"/>
      <c r="E154" s="25"/>
      <c r="F154" s="25"/>
      <c r="G154" s="25"/>
      <c r="H154" s="25"/>
      <c r="I154" s="25"/>
      <c r="J154" s="25"/>
      <c r="K154" s="121"/>
      <c r="L154" s="109"/>
    </row>
    <row r="155" spans="1:12" s="19" customFormat="1" ht="12.75" x14ac:dyDescent="0.2">
      <c r="A155" s="184"/>
      <c r="B155" s="122" t="s">
        <v>510</v>
      </c>
      <c r="C155" s="23">
        <v>7</v>
      </c>
      <c r="D155" s="23">
        <f>20*0.89</f>
        <v>17.8</v>
      </c>
      <c r="E155" s="23"/>
      <c r="F155" s="23"/>
      <c r="G155" s="23"/>
      <c r="H155" s="23"/>
      <c r="I155" s="317">
        <v>0.245</v>
      </c>
      <c r="J155" s="23"/>
      <c r="K155" s="114">
        <f>TRUNC(I155*D155*C155,2)</f>
        <v>30.52</v>
      </c>
      <c r="L155" s="111"/>
    </row>
    <row r="156" spans="1:12" s="19" customFormat="1" ht="12.75" x14ac:dyDescent="0.2">
      <c r="A156" s="184"/>
      <c r="B156" s="122" t="s">
        <v>504</v>
      </c>
      <c r="C156" s="23">
        <v>2</v>
      </c>
      <c r="D156" s="23">
        <f>20*0.89</f>
        <v>17.8</v>
      </c>
      <c r="E156" s="23"/>
      <c r="F156" s="23"/>
      <c r="G156" s="23"/>
      <c r="H156" s="23"/>
      <c r="I156" s="317">
        <v>0.245</v>
      </c>
      <c r="J156" s="23"/>
      <c r="K156" s="114">
        <f t="shared" ref="K156:K160" si="12">TRUNC(I156*D156*C156,2)</f>
        <v>8.7200000000000006</v>
      </c>
      <c r="L156" s="111"/>
    </row>
    <row r="157" spans="1:12" s="19" customFormat="1" ht="12.75" x14ac:dyDescent="0.2">
      <c r="A157" s="184"/>
      <c r="B157" s="122" t="s">
        <v>504</v>
      </c>
      <c r="C157" s="23">
        <v>2</v>
      </c>
      <c r="D157" s="23">
        <f>20*0.89</f>
        <v>17.8</v>
      </c>
      <c r="E157" s="23"/>
      <c r="F157" s="23"/>
      <c r="G157" s="23"/>
      <c r="H157" s="23"/>
      <c r="I157" s="317">
        <v>0.245</v>
      </c>
      <c r="J157" s="23"/>
      <c r="K157" s="114">
        <f t="shared" si="12"/>
        <v>8.7200000000000006</v>
      </c>
      <c r="L157" s="111"/>
    </row>
    <row r="158" spans="1:12" s="19" customFormat="1" ht="12.75" x14ac:dyDescent="0.2">
      <c r="A158" s="184"/>
      <c r="B158" s="122" t="s">
        <v>482</v>
      </c>
      <c r="C158" s="23">
        <v>6</v>
      </c>
      <c r="D158" s="23">
        <f>40*1.29</f>
        <v>51.6</v>
      </c>
      <c r="E158" s="23"/>
      <c r="F158" s="23"/>
      <c r="G158" s="23"/>
      <c r="H158" s="23"/>
      <c r="I158" s="317">
        <v>0.245</v>
      </c>
      <c r="J158" s="23"/>
      <c r="K158" s="114">
        <f t="shared" si="12"/>
        <v>75.849999999999994</v>
      </c>
      <c r="L158" s="111"/>
    </row>
    <row r="159" spans="1:12" s="19" customFormat="1" ht="12.75" x14ac:dyDescent="0.2">
      <c r="A159" s="184"/>
      <c r="B159" s="122" t="s">
        <v>483</v>
      </c>
      <c r="C159" s="23">
        <v>6</v>
      </c>
      <c r="D159" s="23">
        <f>40*0.27</f>
        <v>10.8</v>
      </c>
      <c r="E159" s="23"/>
      <c r="F159" s="23"/>
      <c r="G159" s="23"/>
      <c r="H159" s="23"/>
      <c r="I159" s="317">
        <v>0.245</v>
      </c>
      <c r="J159" s="23"/>
      <c r="K159" s="114">
        <f t="shared" si="12"/>
        <v>15.87</v>
      </c>
      <c r="L159" s="111"/>
    </row>
    <row r="160" spans="1:12" s="19" customFormat="1" ht="12.75" x14ac:dyDescent="0.2">
      <c r="A160" s="184"/>
      <c r="B160" s="122" t="s">
        <v>484</v>
      </c>
      <c r="C160" s="23">
        <v>6</v>
      </c>
      <c r="D160" s="23">
        <f>7*0.89</f>
        <v>6.23</v>
      </c>
      <c r="E160" s="23"/>
      <c r="F160" s="23"/>
      <c r="G160" s="23"/>
      <c r="H160" s="23"/>
      <c r="I160" s="317">
        <v>0.245</v>
      </c>
      <c r="J160" s="23"/>
      <c r="K160" s="114">
        <f t="shared" si="12"/>
        <v>9.15</v>
      </c>
      <c r="L160" s="111"/>
    </row>
    <row r="161" spans="1:12" s="19" customFormat="1" ht="12.75" x14ac:dyDescent="0.2">
      <c r="A161" s="110"/>
      <c r="B161" s="115" t="s">
        <v>9</v>
      </c>
      <c r="C161" s="116"/>
      <c r="D161" s="117"/>
      <c r="E161" s="117"/>
      <c r="F161" s="117"/>
      <c r="G161" s="117"/>
      <c r="H161" s="117"/>
      <c r="I161" s="117"/>
      <c r="J161" s="117"/>
      <c r="K161" s="118">
        <f>SUM(K155:K160)</f>
        <v>148.83000000000001</v>
      </c>
      <c r="L161" s="119" t="s">
        <v>231</v>
      </c>
    </row>
    <row r="162" spans="1:12" s="19" customFormat="1" ht="12.75" x14ac:dyDescent="0.2">
      <c r="A162" s="110"/>
      <c r="B162" s="221"/>
      <c r="C162" s="23"/>
      <c r="D162" s="25"/>
      <c r="E162" s="25"/>
      <c r="F162" s="25"/>
      <c r="G162" s="25"/>
      <c r="H162" s="25"/>
      <c r="I162" s="25"/>
      <c r="J162" s="25"/>
      <c r="K162" s="121"/>
      <c r="L162" s="109"/>
    </row>
    <row r="163" spans="1:12" s="19" customFormat="1" ht="12.75" x14ac:dyDescent="0.2">
      <c r="A163" s="110" t="s">
        <v>350</v>
      </c>
      <c r="B163" s="567" t="str">
        <f>'Planilha Orçamentária'!D38</f>
        <v>Fornecimento, preparo e aplicação de concreto Fck=25 MPa (brita 1 e 2) - (5% de perdas já incluído no custo)</v>
      </c>
      <c r="C163" s="568"/>
      <c r="D163" s="25"/>
      <c r="E163" s="25"/>
      <c r="F163" s="25"/>
      <c r="G163" s="25"/>
      <c r="H163" s="25"/>
      <c r="I163" s="25"/>
      <c r="J163" s="25"/>
      <c r="K163" s="121"/>
      <c r="L163" s="109"/>
    </row>
    <row r="164" spans="1:12" s="19" customFormat="1" ht="12.75" x14ac:dyDescent="0.2">
      <c r="A164" s="110"/>
      <c r="B164" s="122" t="s">
        <v>477</v>
      </c>
      <c r="C164" s="23">
        <v>6</v>
      </c>
      <c r="D164" s="23">
        <v>3</v>
      </c>
      <c r="E164" s="23">
        <v>0.35</v>
      </c>
      <c r="F164" s="23">
        <v>0.15</v>
      </c>
      <c r="G164" s="23"/>
      <c r="H164" s="23">
        <f>F164*E164*D164</f>
        <v>0.1575</v>
      </c>
      <c r="I164" s="23"/>
      <c r="J164" s="23"/>
      <c r="K164" s="114">
        <f>TRUNC(H164*C164,2)</f>
        <v>0.94</v>
      </c>
      <c r="L164" s="109"/>
    </row>
    <row r="165" spans="1:12" s="19" customFormat="1" ht="12.75" x14ac:dyDescent="0.2">
      <c r="A165" s="110"/>
      <c r="B165" s="122" t="s">
        <v>478</v>
      </c>
      <c r="C165" s="23">
        <v>3</v>
      </c>
      <c r="D165" s="23">
        <v>3</v>
      </c>
      <c r="E165" s="23">
        <v>0.35</v>
      </c>
      <c r="F165" s="23">
        <v>0.15</v>
      </c>
      <c r="G165" s="23"/>
      <c r="H165" s="23">
        <f t="shared" ref="H165:H168" si="13">F165*E165*D165</f>
        <v>0.1575</v>
      </c>
      <c r="I165" s="23"/>
      <c r="J165" s="23"/>
      <c r="K165" s="114">
        <f t="shared" ref="K165:K168" si="14">TRUNC(H165*C165,2)</f>
        <v>0.47</v>
      </c>
      <c r="L165" s="109"/>
    </row>
    <row r="166" spans="1:12" s="19" customFormat="1" ht="12.75" x14ac:dyDescent="0.2">
      <c r="A166" s="110"/>
      <c r="B166" s="122" t="s">
        <v>502</v>
      </c>
      <c r="C166" s="23">
        <v>2</v>
      </c>
      <c r="D166" s="23">
        <v>3</v>
      </c>
      <c r="E166" s="23">
        <v>0.35</v>
      </c>
      <c r="F166" s="23">
        <v>0.15</v>
      </c>
      <c r="G166" s="23"/>
      <c r="H166" s="23">
        <f t="shared" si="13"/>
        <v>0.1575</v>
      </c>
      <c r="I166" s="23"/>
      <c r="J166" s="23"/>
      <c r="K166" s="114">
        <f t="shared" si="14"/>
        <v>0.31</v>
      </c>
      <c r="L166" s="109"/>
    </row>
    <row r="167" spans="1:12" s="19" customFormat="1" ht="12.75" x14ac:dyDescent="0.2">
      <c r="A167" s="110"/>
      <c r="B167" s="122" t="s">
        <v>479</v>
      </c>
      <c r="C167" s="23">
        <v>6</v>
      </c>
      <c r="D167" s="23">
        <v>6</v>
      </c>
      <c r="E167" s="23">
        <v>0.5</v>
      </c>
      <c r="F167" s="23">
        <v>0.2</v>
      </c>
      <c r="G167" s="23"/>
      <c r="H167" s="23">
        <f t="shared" si="13"/>
        <v>0.60000000000000009</v>
      </c>
      <c r="I167" s="23"/>
      <c r="J167" s="23"/>
      <c r="K167" s="114">
        <f t="shared" si="14"/>
        <v>3.6</v>
      </c>
      <c r="L167" s="109"/>
    </row>
    <row r="168" spans="1:12" s="19" customFormat="1" ht="12.75" x14ac:dyDescent="0.2">
      <c r="A168" s="110"/>
      <c r="B168" s="122" t="s">
        <v>476</v>
      </c>
      <c r="C168" s="23">
        <v>6</v>
      </c>
      <c r="D168" s="23">
        <v>1</v>
      </c>
      <c r="E168" s="23">
        <v>0.35</v>
      </c>
      <c r="F168" s="23">
        <v>0.15</v>
      </c>
      <c r="G168" s="23"/>
      <c r="H168" s="23">
        <f t="shared" si="13"/>
        <v>5.2499999999999998E-2</v>
      </c>
      <c r="I168" s="23"/>
      <c r="J168" s="23"/>
      <c r="K168" s="114">
        <f t="shared" si="14"/>
        <v>0.31</v>
      </c>
      <c r="L168" s="109"/>
    </row>
    <row r="169" spans="1:12" s="19" customFormat="1" ht="12.75" x14ac:dyDescent="0.2">
      <c r="A169" s="110"/>
      <c r="B169" s="115" t="s">
        <v>9</v>
      </c>
      <c r="C169" s="116"/>
      <c r="D169" s="117"/>
      <c r="E169" s="117"/>
      <c r="F169" s="117"/>
      <c r="G169" s="117"/>
      <c r="H169" s="117"/>
      <c r="I169" s="117"/>
      <c r="J169" s="117"/>
      <c r="K169" s="118">
        <f>SUM(K164:K168)</f>
        <v>5.63</v>
      </c>
      <c r="L169" s="119" t="s">
        <v>303</v>
      </c>
    </row>
    <row r="170" spans="1:12" s="19" customFormat="1" ht="12.75" x14ac:dyDescent="0.2">
      <c r="A170" s="110"/>
      <c r="B170" s="221"/>
      <c r="C170" s="23"/>
      <c r="D170" s="25"/>
      <c r="E170" s="25"/>
      <c r="F170" s="25"/>
      <c r="G170" s="25"/>
      <c r="H170" s="25"/>
      <c r="I170" s="25"/>
      <c r="J170" s="25"/>
      <c r="K170" s="121"/>
      <c r="L170" s="109"/>
    </row>
    <row r="171" spans="1:12" s="19" customFormat="1" ht="12.75" x14ac:dyDescent="0.2">
      <c r="A171" s="375" t="s">
        <v>351</v>
      </c>
      <c r="B171" s="295" t="str">
        <f>'Planilha Orçamentária'!D39</f>
        <v>Vigas - piso 02 e 03</v>
      </c>
      <c r="C171" s="23"/>
      <c r="D171" s="25"/>
      <c r="E171" s="25"/>
      <c r="F171" s="25"/>
      <c r="G171" s="25"/>
      <c r="H171" s="25"/>
      <c r="I171" s="25"/>
      <c r="J171" s="25"/>
      <c r="K171" s="121"/>
      <c r="L171" s="109"/>
    </row>
    <row r="172" spans="1:12" s="19" customFormat="1" ht="27.75" customHeight="1" x14ac:dyDescent="0.2">
      <c r="A172" s="110" t="s">
        <v>353</v>
      </c>
      <c r="B172" s="567" t="str">
        <f>'Planilha Orçamentária'!D40</f>
        <v>Fôrma de chapa compensada resinada 12mm, levando-se em conta a utilização 3 vezes (incluido o material, corte,
montagem, escoramento e desfôrma)</v>
      </c>
      <c r="C172" s="568"/>
      <c r="D172" s="568"/>
      <c r="E172" s="25"/>
      <c r="F172" s="25"/>
      <c r="G172" s="25"/>
      <c r="H172" s="25"/>
      <c r="I172" s="25"/>
      <c r="J172" s="25"/>
      <c r="K172" s="121"/>
      <c r="L172" s="109"/>
    </row>
    <row r="173" spans="1:12" s="19" customFormat="1" ht="12.75" x14ac:dyDescent="0.2">
      <c r="A173" s="110"/>
      <c r="B173" s="122" t="s">
        <v>517</v>
      </c>
      <c r="C173" s="319"/>
      <c r="D173" s="319"/>
      <c r="E173" s="25"/>
      <c r="F173" s="25"/>
      <c r="G173" s="25"/>
      <c r="H173" s="25"/>
      <c r="I173" s="25"/>
      <c r="J173" s="25"/>
      <c r="K173" s="121"/>
      <c r="L173" s="109"/>
    </row>
    <row r="174" spans="1:12" s="19" customFormat="1" ht="12.75" x14ac:dyDescent="0.2">
      <c r="A174" s="110"/>
      <c r="B174" s="122" t="s">
        <v>513</v>
      </c>
      <c r="C174" s="127">
        <v>1</v>
      </c>
      <c r="D174" s="127">
        <v>3.7</v>
      </c>
      <c r="E174" s="320">
        <v>0.3</v>
      </c>
      <c r="F174" s="19">
        <v>0.15</v>
      </c>
      <c r="G174" s="320">
        <f>(D174*E174*2)+(F174*D174)</f>
        <v>2.7750000000000004</v>
      </c>
      <c r="H174" s="320"/>
      <c r="I174" s="320"/>
      <c r="J174" s="320"/>
      <c r="K174" s="321">
        <f>TRUNC(G174*C174,2)</f>
        <v>2.77</v>
      </c>
      <c r="L174" s="109"/>
    </row>
    <row r="175" spans="1:12" s="19" customFormat="1" ht="12.75" x14ac:dyDescent="0.2">
      <c r="A175" s="110"/>
      <c r="B175" s="122" t="s">
        <v>514</v>
      </c>
      <c r="C175" s="127">
        <v>2</v>
      </c>
      <c r="D175" s="127">
        <v>1.45</v>
      </c>
      <c r="E175" s="320">
        <v>0.3</v>
      </c>
      <c r="F175" s="19">
        <v>0.15</v>
      </c>
      <c r="G175" s="320">
        <f t="shared" ref="G175:G184" si="15">(D175*E175*2)+(F175*D175)</f>
        <v>1.0874999999999999</v>
      </c>
      <c r="H175" s="320"/>
      <c r="I175" s="320"/>
      <c r="J175" s="320"/>
      <c r="K175" s="321">
        <f t="shared" ref="K175:K184" si="16">TRUNC(G175*C175,2)</f>
        <v>2.17</v>
      </c>
      <c r="L175" s="109"/>
    </row>
    <row r="176" spans="1:12" s="19" customFormat="1" ht="12.75" x14ac:dyDescent="0.2">
      <c r="A176" s="110"/>
      <c r="B176" s="122" t="s">
        <v>515</v>
      </c>
      <c r="C176" s="127">
        <v>1</v>
      </c>
      <c r="D176" s="127">
        <v>1</v>
      </c>
      <c r="E176" s="320">
        <v>0.3</v>
      </c>
      <c r="F176" s="19">
        <v>0.15</v>
      </c>
      <c r="G176" s="320">
        <f t="shared" si="15"/>
        <v>0.75</v>
      </c>
      <c r="H176" s="320"/>
      <c r="I176" s="320"/>
      <c r="J176" s="320"/>
      <c r="K176" s="321">
        <f t="shared" si="16"/>
        <v>0.75</v>
      </c>
      <c r="L176" s="109"/>
    </row>
    <row r="177" spans="1:12" s="19" customFormat="1" ht="12.75" x14ac:dyDescent="0.2">
      <c r="A177" s="110"/>
      <c r="B177" s="122" t="s">
        <v>516</v>
      </c>
      <c r="C177" s="127">
        <v>2</v>
      </c>
      <c r="D177" s="127">
        <v>1.4</v>
      </c>
      <c r="E177" s="320">
        <v>0.3</v>
      </c>
      <c r="F177" s="19">
        <v>0.15</v>
      </c>
      <c r="G177" s="320">
        <f t="shared" si="15"/>
        <v>1.05</v>
      </c>
      <c r="H177" s="320"/>
      <c r="I177" s="320"/>
      <c r="J177" s="320"/>
      <c r="K177" s="321">
        <f t="shared" si="16"/>
        <v>2.1</v>
      </c>
      <c r="L177" s="109"/>
    </row>
    <row r="178" spans="1:12" s="19" customFormat="1" ht="12.75" x14ac:dyDescent="0.2">
      <c r="A178" s="110"/>
      <c r="B178" s="112"/>
      <c r="C178" s="323"/>
      <c r="D178" s="323"/>
      <c r="E178" s="323"/>
      <c r="F178" s="323"/>
      <c r="G178" s="320"/>
      <c r="H178" s="323"/>
      <c r="I178" s="323"/>
      <c r="J178" s="323"/>
      <c r="K178" s="321"/>
      <c r="L178" s="109"/>
    </row>
    <row r="179" spans="1:12" s="19" customFormat="1" ht="12.75" x14ac:dyDescent="0.2">
      <c r="A179" s="184"/>
      <c r="B179" s="112" t="s">
        <v>518</v>
      </c>
      <c r="C179" s="323"/>
      <c r="D179" s="323"/>
      <c r="E179" s="323"/>
      <c r="F179" s="323"/>
      <c r="G179" s="320"/>
      <c r="H179" s="323"/>
      <c r="I179" s="323"/>
      <c r="J179" s="323"/>
      <c r="K179" s="321"/>
      <c r="L179" s="111"/>
    </row>
    <row r="180" spans="1:12" s="19" customFormat="1" ht="12.75" x14ac:dyDescent="0.2">
      <c r="A180" s="184"/>
      <c r="B180" s="122" t="s">
        <v>520</v>
      </c>
      <c r="C180" s="127">
        <v>2</v>
      </c>
      <c r="D180" s="127">
        <v>6.35</v>
      </c>
      <c r="E180" s="320">
        <v>0.3</v>
      </c>
      <c r="F180" s="19">
        <v>0.15</v>
      </c>
      <c r="G180" s="320">
        <f t="shared" si="15"/>
        <v>4.7624999999999993</v>
      </c>
      <c r="H180" s="320"/>
      <c r="I180" s="320"/>
      <c r="J180" s="320"/>
      <c r="K180" s="321">
        <f t="shared" si="16"/>
        <v>9.52</v>
      </c>
      <c r="L180" s="111"/>
    </row>
    <row r="181" spans="1:12" s="19" customFormat="1" ht="12.75" x14ac:dyDescent="0.2">
      <c r="A181" s="184"/>
      <c r="B181" s="122" t="s">
        <v>519</v>
      </c>
      <c r="C181" s="127">
        <v>2</v>
      </c>
      <c r="D181" s="127">
        <v>4.9000000000000004</v>
      </c>
      <c r="E181" s="320">
        <v>0.3</v>
      </c>
      <c r="F181" s="19">
        <v>0.15</v>
      </c>
      <c r="G181" s="320">
        <f t="shared" si="15"/>
        <v>3.6749999999999998</v>
      </c>
      <c r="H181" s="320"/>
      <c r="I181" s="320"/>
      <c r="J181" s="320"/>
      <c r="K181" s="321">
        <f t="shared" si="16"/>
        <v>7.35</v>
      </c>
      <c r="L181" s="111"/>
    </row>
    <row r="182" spans="1:12" s="19" customFormat="1" ht="12.75" x14ac:dyDescent="0.2">
      <c r="A182" s="184"/>
      <c r="B182" s="122" t="s">
        <v>521</v>
      </c>
      <c r="C182" s="127">
        <v>1</v>
      </c>
      <c r="D182" s="127">
        <v>6.25</v>
      </c>
      <c r="E182" s="320">
        <v>0.3</v>
      </c>
      <c r="F182" s="19">
        <v>0.15</v>
      </c>
      <c r="G182" s="320">
        <f t="shared" si="15"/>
        <v>4.6875</v>
      </c>
      <c r="H182" s="320"/>
      <c r="I182" s="320"/>
      <c r="J182" s="320"/>
      <c r="K182" s="321">
        <f t="shared" si="16"/>
        <v>4.68</v>
      </c>
      <c r="L182" s="111"/>
    </row>
    <row r="183" spans="1:12" s="19" customFormat="1" ht="12.75" x14ac:dyDescent="0.2">
      <c r="A183" s="184"/>
      <c r="B183" s="122" t="s">
        <v>522</v>
      </c>
      <c r="C183" s="127">
        <v>1</v>
      </c>
      <c r="D183" s="127">
        <v>5</v>
      </c>
      <c r="E183" s="320">
        <v>0.3</v>
      </c>
      <c r="F183" s="19">
        <v>0.15</v>
      </c>
      <c r="G183" s="320">
        <f t="shared" si="15"/>
        <v>3.75</v>
      </c>
      <c r="H183" s="320"/>
      <c r="I183" s="320"/>
      <c r="J183" s="320"/>
      <c r="K183" s="321">
        <f t="shared" si="16"/>
        <v>3.75</v>
      </c>
      <c r="L183" s="111"/>
    </row>
    <row r="184" spans="1:12" s="19" customFormat="1" ht="12.75" x14ac:dyDescent="0.2">
      <c r="A184" s="184"/>
      <c r="B184" s="122" t="s">
        <v>523</v>
      </c>
      <c r="C184" s="127">
        <v>9</v>
      </c>
      <c r="D184" s="127">
        <v>2.2999999999999998</v>
      </c>
      <c r="E184" s="320">
        <v>0.3</v>
      </c>
      <c r="F184" s="19">
        <v>0.15</v>
      </c>
      <c r="G184" s="320">
        <f t="shared" si="15"/>
        <v>1.7249999999999999</v>
      </c>
      <c r="H184" s="320"/>
      <c r="I184" s="320"/>
      <c r="J184" s="320"/>
      <c r="K184" s="321">
        <f t="shared" si="16"/>
        <v>15.52</v>
      </c>
      <c r="L184" s="111"/>
    </row>
    <row r="185" spans="1:12" s="19" customFormat="1" ht="15" customHeight="1" x14ac:dyDescent="0.2">
      <c r="A185" s="110"/>
      <c r="B185" s="115" t="s">
        <v>9</v>
      </c>
      <c r="C185" s="322"/>
      <c r="D185" s="117"/>
      <c r="E185" s="117"/>
      <c r="F185" s="117"/>
      <c r="G185" s="117"/>
      <c r="H185" s="117"/>
      <c r="I185" s="117"/>
      <c r="J185" s="117"/>
      <c r="K185" s="118">
        <f>SUM(K174:K184)</f>
        <v>48.61</v>
      </c>
      <c r="L185" s="119" t="s">
        <v>6</v>
      </c>
    </row>
    <row r="186" spans="1:12" s="19" customFormat="1" ht="15" customHeight="1" x14ac:dyDescent="0.2">
      <c r="A186" s="110"/>
      <c r="B186" s="221"/>
      <c r="C186" s="23"/>
      <c r="D186" s="25"/>
      <c r="E186" s="25"/>
      <c r="F186" s="25"/>
      <c r="G186" s="25"/>
      <c r="H186" s="25"/>
      <c r="I186" s="25"/>
      <c r="J186" s="25"/>
      <c r="K186" s="121"/>
      <c r="L186" s="109"/>
    </row>
    <row r="187" spans="1:12" s="19" customFormat="1" ht="12.75" x14ac:dyDescent="0.2">
      <c r="A187" s="110" t="s">
        <v>354</v>
      </c>
      <c r="B187" s="567" t="str">
        <f>'Planilha Orçamentária'!D41</f>
        <v>Fornecimento, dobragem e colocação em fôrma, de armadura CA-50 A média, diâmetro de 6.3 a 10.0 mm</v>
      </c>
      <c r="C187" s="568"/>
      <c r="D187" s="25"/>
      <c r="E187" s="25"/>
      <c r="F187" s="25"/>
      <c r="G187" s="25"/>
      <c r="H187" s="25"/>
      <c r="I187" s="25"/>
      <c r="J187" s="25"/>
      <c r="K187" s="121"/>
      <c r="L187" s="109"/>
    </row>
    <row r="188" spans="1:12" s="19" customFormat="1" ht="12.75" x14ac:dyDescent="0.2">
      <c r="A188" s="110"/>
      <c r="B188" s="122" t="s">
        <v>517</v>
      </c>
      <c r="C188" s="319"/>
      <c r="D188" s="25"/>
      <c r="E188" s="25"/>
      <c r="F188" s="25"/>
      <c r="G188" s="25"/>
      <c r="H188" s="25"/>
      <c r="I188" s="25"/>
      <c r="J188" s="25"/>
      <c r="K188" s="121"/>
      <c r="L188" s="109"/>
    </row>
    <row r="189" spans="1:12" s="19" customFormat="1" ht="12.75" x14ac:dyDescent="0.2">
      <c r="A189" s="110"/>
      <c r="B189" s="122" t="s">
        <v>524</v>
      </c>
      <c r="C189" s="127"/>
      <c r="D189" s="23">
        <f>13.11*2</f>
        <v>26.22</v>
      </c>
      <c r="E189" s="23"/>
      <c r="F189" s="23">
        <f>SUM(K189:K191)</f>
        <v>42.690000000000005</v>
      </c>
      <c r="G189" s="23"/>
      <c r="H189" s="23"/>
      <c r="I189" s="317">
        <v>0.39500000000000002</v>
      </c>
      <c r="J189" s="23"/>
      <c r="K189" s="114">
        <f>TRUNC(I189*D189,2)</f>
        <v>10.35</v>
      </c>
      <c r="L189" s="109"/>
    </row>
    <row r="190" spans="1:12" s="19" customFormat="1" ht="12.75" x14ac:dyDescent="0.2">
      <c r="A190" s="110"/>
      <c r="B190" s="122" t="s">
        <v>525</v>
      </c>
      <c r="C190" s="127"/>
      <c r="D190" s="23">
        <f>2*13.11</f>
        <v>26.22</v>
      </c>
      <c r="E190" s="23"/>
      <c r="F190" s="23"/>
      <c r="G190" s="23"/>
      <c r="H190" s="23"/>
      <c r="I190" s="317">
        <v>0.61699999999999999</v>
      </c>
      <c r="J190" s="23"/>
      <c r="K190" s="114">
        <f t="shared" ref="K190:K191" si="17">TRUNC(I190*D190,2)</f>
        <v>16.170000000000002</v>
      </c>
      <c r="L190" s="109"/>
    </row>
    <row r="191" spans="1:12" s="19" customFormat="1" ht="12.75" x14ac:dyDescent="0.2">
      <c r="A191" s="110"/>
      <c r="B191" s="122" t="s">
        <v>526</v>
      </c>
      <c r="C191" s="127"/>
      <c r="D191" s="23">
        <f>2*13.11</f>
        <v>26.22</v>
      </c>
      <c r="E191" s="23"/>
      <c r="F191" s="23"/>
      <c r="G191" s="23"/>
      <c r="H191" s="23"/>
      <c r="I191" s="317">
        <v>0.61699999999999999</v>
      </c>
      <c r="J191" s="23"/>
      <c r="K191" s="114">
        <f t="shared" si="17"/>
        <v>16.170000000000002</v>
      </c>
      <c r="L191" s="109"/>
    </row>
    <row r="192" spans="1:12" s="19" customFormat="1" ht="12.75" x14ac:dyDescent="0.2">
      <c r="A192" s="110"/>
      <c r="B192" s="122"/>
      <c r="C192" s="127"/>
      <c r="D192" s="23"/>
      <c r="E192" s="23"/>
      <c r="F192" s="23"/>
      <c r="G192" s="23"/>
      <c r="H192" s="23"/>
      <c r="I192" s="317"/>
      <c r="J192" s="23"/>
      <c r="K192" s="114"/>
      <c r="L192" s="109"/>
    </row>
    <row r="193" spans="1:12" s="19" customFormat="1" ht="12.75" x14ac:dyDescent="0.2">
      <c r="A193" s="110"/>
      <c r="B193" s="112" t="s">
        <v>518</v>
      </c>
      <c r="C193" s="323"/>
      <c r="E193" s="23"/>
      <c r="F193" s="23"/>
      <c r="G193" s="23"/>
      <c r="H193" s="23"/>
      <c r="I193" s="317"/>
      <c r="J193" s="23"/>
      <c r="K193" s="114"/>
      <c r="L193" s="109"/>
    </row>
    <row r="194" spans="1:12" s="19" customFormat="1" ht="12.75" x14ac:dyDescent="0.2">
      <c r="A194" s="110"/>
      <c r="B194" s="122" t="s">
        <v>527</v>
      </c>
      <c r="C194" s="127"/>
      <c r="D194" s="23">
        <f>2*59.7</f>
        <v>119.4</v>
      </c>
      <c r="E194" s="23"/>
      <c r="F194" s="23">
        <f>SUM(K194:K196)</f>
        <v>194.48</v>
      </c>
      <c r="G194" s="23"/>
      <c r="H194" s="23"/>
      <c r="I194" s="317">
        <v>0.39500000000000002</v>
      </c>
      <c r="J194" s="23"/>
      <c r="K194" s="114">
        <f>TRUNC(I194*D194,2)</f>
        <v>47.16</v>
      </c>
      <c r="L194" s="109"/>
    </row>
    <row r="195" spans="1:12" s="19" customFormat="1" ht="12.75" x14ac:dyDescent="0.2">
      <c r="A195" s="110"/>
      <c r="B195" s="122" t="s">
        <v>528</v>
      </c>
      <c r="C195" s="127"/>
      <c r="D195" s="23">
        <f>2*59.7</f>
        <v>119.4</v>
      </c>
      <c r="E195" s="23"/>
      <c r="F195" s="23"/>
      <c r="G195" s="23"/>
      <c r="H195" s="23"/>
      <c r="I195" s="317">
        <v>0.61699999999999999</v>
      </c>
      <c r="J195" s="23"/>
      <c r="K195" s="114">
        <f>TRUNC(I195*D195,2)</f>
        <v>73.66</v>
      </c>
      <c r="L195" s="109"/>
    </row>
    <row r="196" spans="1:12" s="19" customFormat="1" ht="12.75" x14ac:dyDescent="0.2">
      <c r="A196" s="110"/>
      <c r="B196" s="122" t="s">
        <v>528</v>
      </c>
      <c r="C196" s="127"/>
      <c r="D196" s="23">
        <f>2*59.7</f>
        <v>119.4</v>
      </c>
      <c r="E196" s="23"/>
      <c r="F196" s="23"/>
      <c r="G196" s="23"/>
      <c r="H196" s="23"/>
      <c r="I196" s="317">
        <v>0.61699999999999999</v>
      </c>
      <c r="J196" s="23"/>
      <c r="K196" s="114">
        <f>TRUNC(I196*D196,2)</f>
        <v>73.66</v>
      </c>
      <c r="L196" s="109"/>
    </row>
    <row r="197" spans="1:12" s="19" customFormat="1" ht="12.75" x14ac:dyDescent="0.2">
      <c r="A197" s="110"/>
      <c r="B197" s="115" t="s">
        <v>9</v>
      </c>
      <c r="C197" s="116"/>
      <c r="D197" s="117"/>
      <c r="E197" s="117"/>
      <c r="F197" s="117"/>
      <c r="G197" s="117"/>
      <c r="H197" s="117"/>
      <c r="I197" s="117"/>
      <c r="J197" s="117"/>
      <c r="K197" s="118">
        <f>SUM(K189:K196)</f>
        <v>237.17</v>
      </c>
      <c r="L197" s="119" t="s">
        <v>231</v>
      </c>
    </row>
    <row r="198" spans="1:12" s="19" customFormat="1" ht="12.75" x14ac:dyDescent="0.2">
      <c r="A198" s="110"/>
      <c r="B198" s="221"/>
      <c r="C198" s="23"/>
      <c r="D198" s="25"/>
      <c r="E198" s="25"/>
      <c r="F198" s="25"/>
      <c r="G198" s="25"/>
      <c r="H198" s="25"/>
      <c r="I198" s="25"/>
      <c r="J198" s="25"/>
      <c r="K198" s="121"/>
      <c r="L198" s="109"/>
    </row>
    <row r="199" spans="1:12" s="19" customFormat="1" ht="12.75" x14ac:dyDescent="0.2">
      <c r="A199" s="110" t="s">
        <v>355</v>
      </c>
      <c r="B199" s="567" t="str">
        <f>'Planilha Orçamentária'!D42</f>
        <v>Fornecimento, dobragem e colocação em fôrma, de armadura CA-60 B fina, diâmetro de 4.0 a 7.0mm</v>
      </c>
      <c r="C199" s="568"/>
      <c r="D199" s="568"/>
      <c r="E199" s="25"/>
      <c r="F199" s="25"/>
      <c r="G199" s="25"/>
      <c r="H199" s="25"/>
      <c r="I199" s="25"/>
      <c r="J199" s="25"/>
      <c r="K199" s="121"/>
      <c r="L199" s="109"/>
    </row>
    <row r="200" spans="1:12" s="19" customFormat="1" ht="12.75" x14ac:dyDescent="0.2">
      <c r="A200" s="110"/>
      <c r="B200" s="122" t="s">
        <v>517</v>
      </c>
      <c r="C200" s="23"/>
      <c r="D200" s="25"/>
      <c r="E200" s="25"/>
      <c r="F200" s="25"/>
      <c r="G200" s="25"/>
      <c r="H200" s="25"/>
      <c r="I200" s="25"/>
      <c r="J200" s="25"/>
      <c r="K200" s="121"/>
      <c r="L200" s="109"/>
    </row>
    <row r="201" spans="1:12" s="19" customFormat="1" ht="12.75" x14ac:dyDescent="0.2">
      <c r="A201" s="110"/>
      <c r="B201" s="122" t="s">
        <v>529</v>
      </c>
      <c r="C201" s="23"/>
      <c r="D201" s="23">
        <f>70*0.8</f>
        <v>56</v>
      </c>
      <c r="E201" s="23"/>
      <c r="F201" s="23"/>
      <c r="G201" s="23"/>
      <c r="H201" s="23"/>
      <c r="I201" s="317">
        <v>0.154</v>
      </c>
      <c r="J201" s="23"/>
      <c r="K201" s="114">
        <f>TRUNC(I201*D201,2)</f>
        <v>8.6199999999999992</v>
      </c>
      <c r="L201" s="109"/>
    </row>
    <row r="202" spans="1:12" s="19" customFormat="1" ht="12.75" x14ac:dyDescent="0.2">
      <c r="A202" s="110"/>
      <c r="B202" s="122"/>
      <c r="C202" s="23"/>
      <c r="D202" s="23"/>
      <c r="E202" s="23"/>
      <c r="F202" s="23"/>
      <c r="G202" s="23"/>
      <c r="H202" s="23"/>
      <c r="I202" s="317"/>
      <c r="J202" s="23"/>
      <c r="K202" s="114"/>
      <c r="L202" s="109"/>
    </row>
    <row r="203" spans="1:12" s="19" customFormat="1" ht="12.75" x14ac:dyDescent="0.2">
      <c r="A203" s="110"/>
      <c r="B203" s="112" t="s">
        <v>518</v>
      </c>
      <c r="C203" s="23"/>
      <c r="D203" s="23"/>
      <c r="E203" s="23"/>
      <c r="F203" s="23"/>
      <c r="G203" s="23"/>
      <c r="H203" s="23"/>
      <c r="I203" s="317"/>
      <c r="J203" s="23"/>
      <c r="K203" s="114"/>
      <c r="L203" s="109"/>
    </row>
    <row r="204" spans="1:12" s="19" customFormat="1" ht="12.75" x14ac:dyDescent="0.2">
      <c r="A204" s="110"/>
      <c r="B204" s="122" t="s">
        <v>530</v>
      </c>
      <c r="C204" s="23"/>
      <c r="D204" s="23">
        <f>363*0.8</f>
        <v>290.40000000000003</v>
      </c>
      <c r="E204" s="23"/>
      <c r="F204" s="23"/>
      <c r="G204" s="23"/>
      <c r="H204" s="23"/>
      <c r="I204" s="317">
        <v>0.154</v>
      </c>
      <c r="J204" s="23"/>
      <c r="K204" s="114">
        <f>TRUNC(I204*D204,2)</f>
        <v>44.72</v>
      </c>
      <c r="L204" s="109"/>
    </row>
    <row r="205" spans="1:12" s="19" customFormat="1" ht="12.75" x14ac:dyDescent="0.2">
      <c r="A205" s="110"/>
      <c r="B205" s="115" t="s">
        <v>9</v>
      </c>
      <c r="C205" s="116"/>
      <c r="D205" s="117"/>
      <c r="E205" s="117"/>
      <c r="F205" s="117"/>
      <c r="G205" s="117"/>
      <c r="H205" s="117"/>
      <c r="I205" s="117"/>
      <c r="J205" s="117"/>
      <c r="K205" s="118">
        <f>SUM(K201:K204)</f>
        <v>53.339999999999996</v>
      </c>
      <c r="L205" s="119" t="s">
        <v>231</v>
      </c>
    </row>
    <row r="206" spans="1:12" s="19" customFormat="1" ht="12.75" x14ac:dyDescent="0.2">
      <c r="A206" s="110"/>
      <c r="B206" s="221"/>
      <c r="C206" s="23"/>
      <c r="D206" s="25"/>
      <c r="E206" s="25"/>
      <c r="F206" s="25"/>
      <c r="G206" s="25"/>
      <c r="H206" s="25"/>
      <c r="I206" s="25"/>
      <c r="J206" s="25"/>
      <c r="K206" s="121"/>
      <c r="L206" s="109"/>
    </row>
    <row r="207" spans="1:12" s="19" customFormat="1" ht="12.75" x14ac:dyDescent="0.2">
      <c r="A207" s="110" t="s">
        <v>356</v>
      </c>
      <c r="B207" s="567" t="str">
        <f>'Planilha Orçamentária'!D43</f>
        <v>Fornecimento, preparo e aplicação de concreto Fck=25 MPa (brita 1 e 2) - (5% de perdas já incluído no custo)</v>
      </c>
      <c r="C207" s="568"/>
      <c r="D207" s="25"/>
      <c r="E207" s="25"/>
      <c r="F207" s="25"/>
      <c r="G207" s="25"/>
      <c r="H207" s="25"/>
      <c r="I207" s="25"/>
      <c r="J207" s="25"/>
      <c r="K207" s="121"/>
      <c r="L207" s="109"/>
    </row>
    <row r="208" spans="1:12" s="19" customFormat="1" ht="12.75" x14ac:dyDescent="0.2">
      <c r="A208" s="110"/>
      <c r="B208" s="122" t="s">
        <v>517</v>
      </c>
      <c r="C208" s="23"/>
      <c r="D208" s="25"/>
      <c r="E208" s="25"/>
      <c r="F208" s="25"/>
      <c r="G208" s="25"/>
      <c r="H208" s="25"/>
      <c r="I208" s="25"/>
      <c r="J208" s="25"/>
      <c r="K208" s="121"/>
      <c r="L208" s="109"/>
    </row>
    <row r="209" spans="1:12" s="19" customFormat="1" ht="12.75" x14ac:dyDescent="0.2">
      <c r="A209" s="110"/>
      <c r="B209" s="122" t="s">
        <v>513</v>
      </c>
      <c r="C209" s="23">
        <v>1</v>
      </c>
      <c r="D209" s="23">
        <v>3.7</v>
      </c>
      <c r="E209" s="23">
        <v>0.3</v>
      </c>
      <c r="F209" s="23">
        <v>0.15</v>
      </c>
      <c r="G209" s="23"/>
      <c r="H209" s="23">
        <f>F209*E209*D209</f>
        <v>0.16650000000000001</v>
      </c>
      <c r="I209" s="23"/>
      <c r="J209" s="23"/>
      <c r="K209" s="114">
        <f>TRUNC(H209*C209,2)</f>
        <v>0.16</v>
      </c>
      <c r="L209" s="109"/>
    </row>
    <row r="210" spans="1:12" s="19" customFormat="1" ht="12.75" x14ac:dyDescent="0.2">
      <c r="A210" s="110"/>
      <c r="B210" s="122" t="s">
        <v>514</v>
      </c>
      <c r="C210" s="23">
        <v>2</v>
      </c>
      <c r="D210" s="23">
        <v>1.45</v>
      </c>
      <c r="E210" s="23">
        <v>0.3</v>
      </c>
      <c r="F210" s="23">
        <v>0.15</v>
      </c>
      <c r="G210" s="23"/>
      <c r="H210" s="23">
        <f t="shared" ref="H210:H212" si="18">F210*E210*D210</f>
        <v>6.5250000000000002E-2</v>
      </c>
      <c r="I210" s="23"/>
      <c r="J210" s="23"/>
      <c r="K210" s="114">
        <f t="shared" ref="K210:K219" si="19">TRUNC(H210*C210,2)</f>
        <v>0.13</v>
      </c>
      <c r="L210" s="109"/>
    </row>
    <row r="211" spans="1:12" s="19" customFormat="1" ht="12.75" x14ac:dyDescent="0.2">
      <c r="A211" s="110"/>
      <c r="B211" s="122" t="s">
        <v>515</v>
      </c>
      <c r="C211" s="23">
        <v>1</v>
      </c>
      <c r="D211" s="23">
        <v>1</v>
      </c>
      <c r="E211" s="23">
        <v>0.3</v>
      </c>
      <c r="F211" s="23">
        <v>0.15</v>
      </c>
      <c r="G211" s="23"/>
      <c r="H211" s="23">
        <f t="shared" si="18"/>
        <v>4.4999999999999998E-2</v>
      </c>
      <c r="I211" s="23"/>
      <c r="J211" s="23"/>
      <c r="K211" s="114">
        <f t="shared" si="19"/>
        <v>0.04</v>
      </c>
      <c r="L211" s="109"/>
    </row>
    <row r="212" spans="1:12" s="19" customFormat="1" ht="12.75" x14ac:dyDescent="0.2">
      <c r="A212" s="110"/>
      <c r="B212" s="122" t="s">
        <v>516</v>
      </c>
      <c r="C212" s="23">
        <v>2</v>
      </c>
      <c r="D212" s="23">
        <v>1.4</v>
      </c>
      <c r="E212" s="23">
        <v>0.3</v>
      </c>
      <c r="F212" s="23">
        <v>0.15</v>
      </c>
      <c r="G212" s="23"/>
      <c r="H212" s="23">
        <f t="shared" si="18"/>
        <v>6.3E-2</v>
      </c>
      <c r="I212" s="23"/>
      <c r="J212" s="23"/>
      <c r="K212" s="114">
        <f>TRUNC(H212*C212,2)</f>
        <v>0.12</v>
      </c>
      <c r="L212" s="109"/>
    </row>
    <row r="213" spans="1:12" s="19" customFormat="1" ht="12.75" x14ac:dyDescent="0.2">
      <c r="A213" s="110"/>
      <c r="B213" s="112"/>
      <c r="C213" s="23"/>
      <c r="D213" s="23"/>
      <c r="E213" s="23"/>
      <c r="F213" s="23"/>
      <c r="G213" s="23"/>
      <c r="H213" s="23"/>
      <c r="I213" s="23"/>
      <c r="J213" s="23"/>
      <c r="K213" s="114"/>
      <c r="L213" s="109"/>
    </row>
    <row r="214" spans="1:12" s="19" customFormat="1" ht="12.75" x14ac:dyDescent="0.2">
      <c r="A214" s="110"/>
      <c r="B214" s="112" t="s">
        <v>518</v>
      </c>
      <c r="C214" s="23"/>
      <c r="D214" s="23"/>
      <c r="E214" s="23"/>
      <c r="F214" s="23"/>
      <c r="G214" s="23"/>
      <c r="H214" s="23"/>
      <c r="I214" s="23"/>
      <c r="J214" s="23"/>
      <c r="K214" s="114"/>
      <c r="L214" s="109"/>
    </row>
    <row r="215" spans="1:12" s="19" customFormat="1" ht="12.75" x14ac:dyDescent="0.2">
      <c r="A215" s="110"/>
      <c r="B215" s="122" t="s">
        <v>520</v>
      </c>
      <c r="C215" s="23">
        <v>2</v>
      </c>
      <c r="D215" s="23">
        <v>6.35</v>
      </c>
      <c r="E215" s="23">
        <v>0.3</v>
      </c>
      <c r="F215" s="23">
        <v>0.15</v>
      </c>
      <c r="G215" s="23"/>
      <c r="H215" s="23">
        <f>F215*E215*D215</f>
        <v>0.28574999999999995</v>
      </c>
      <c r="I215" s="23"/>
      <c r="J215" s="23"/>
      <c r="K215" s="114">
        <f t="shared" si="19"/>
        <v>0.56999999999999995</v>
      </c>
      <c r="L215" s="109"/>
    </row>
    <row r="216" spans="1:12" s="19" customFormat="1" ht="12.75" x14ac:dyDescent="0.2">
      <c r="A216" s="110"/>
      <c r="B216" s="122" t="s">
        <v>519</v>
      </c>
      <c r="C216" s="23">
        <v>2</v>
      </c>
      <c r="D216" s="23">
        <v>4.9000000000000004</v>
      </c>
      <c r="E216" s="23">
        <v>0.3</v>
      </c>
      <c r="F216" s="23">
        <v>0.15</v>
      </c>
      <c r="G216" s="23"/>
      <c r="H216" s="23">
        <f t="shared" ref="H216:H219" si="20">F216*E216*D216</f>
        <v>0.2205</v>
      </c>
      <c r="I216" s="23"/>
      <c r="J216" s="23"/>
      <c r="K216" s="114">
        <f t="shared" si="19"/>
        <v>0.44</v>
      </c>
      <c r="L216" s="109"/>
    </row>
    <row r="217" spans="1:12" s="19" customFormat="1" ht="12.75" x14ac:dyDescent="0.2">
      <c r="A217" s="110"/>
      <c r="B217" s="122" t="s">
        <v>521</v>
      </c>
      <c r="C217" s="23">
        <v>1</v>
      </c>
      <c r="D217" s="23">
        <v>6.25</v>
      </c>
      <c r="E217" s="23">
        <v>0.3</v>
      </c>
      <c r="F217" s="23">
        <v>0.15</v>
      </c>
      <c r="G217" s="23"/>
      <c r="H217" s="23">
        <f t="shared" si="20"/>
        <v>0.28125</v>
      </c>
      <c r="I217" s="23"/>
      <c r="J217" s="23"/>
      <c r="K217" s="114">
        <f t="shared" si="19"/>
        <v>0.28000000000000003</v>
      </c>
      <c r="L217" s="109"/>
    </row>
    <row r="218" spans="1:12" s="19" customFormat="1" ht="12.75" x14ac:dyDescent="0.2">
      <c r="A218" s="110"/>
      <c r="B218" s="122" t="s">
        <v>522</v>
      </c>
      <c r="C218" s="23">
        <v>1</v>
      </c>
      <c r="D218" s="23">
        <v>5</v>
      </c>
      <c r="E218" s="23">
        <v>0.3</v>
      </c>
      <c r="F218" s="23">
        <v>0.15</v>
      </c>
      <c r="G218" s="23"/>
      <c r="H218" s="23">
        <f t="shared" si="20"/>
        <v>0.22499999999999998</v>
      </c>
      <c r="I218" s="23"/>
      <c r="J218" s="23"/>
      <c r="K218" s="114">
        <f t="shared" si="19"/>
        <v>0.22</v>
      </c>
      <c r="L218" s="109"/>
    </row>
    <row r="219" spans="1:12" s="19" customFormat="1" ht="12.75" x14ac:dyDescent="0.2">
      <c r="A219" s="110"/>
      <c r="B219" s="122" t="s">
        <v>523</v>
      </c>
      <c r="C219" s="23">
        <v>9</v>
      </c>
      <c r="D219" s="23">
        <v>2.2999999999999998</v>
      </c>
      <c r="E219" s="23">
        <v>0.3</v>
      </c>
      <c r="F219" s="23">
        <v>0.15</v>
      </c>
      <c r="G219" s="23"/>
      <c r="H219" s="23">
        <f t="shared" si="20"/>
        <v>0.10349999999999999</v>
      </c>
      <c r="I219" s="23"/>
      <c r="J219" s="23"/>
      <c r="K219" s="114">
        <f t="shared" si="19"/>
        <v>0.93</v>
      </c>
      <c r="L219" s="109"/>
    </row>
    <row r="220" spans="1:12" s="19" customFormat="1" ht="12.75" x14ac:dyDescent="0.2">
      <c r="A220" s="110"/>
      <c r="B220" s="115" t="s">
        <v>9</v>
      </c>
      <c r="C220" s="116"/>
      <c r="D220" s="117"/>
      <c r="E220" s="117"/>
      <c r="F220" s="117"/>
      <c r="G220" s="117"/>
      <c r="H220" s="117"/>
      <c r="I220" s="117"/>
      <c r="J220" s="117"/>
      <c r="K220" s="118">
        <f>SUM(K209:K219)</f>
        <v>2.89</v>
      </c>
      <c r="L220" s="119" t="s">
        <v>303</v>
      </c>
    </row>
    <row r="221" spans="1:12" s="19" customFormat="1" ht="12.75" x14ac:dyDescent="0.2">
      <c r="A221" s="110"/>
      <c r="B221" s="221"/>
      <c r="C221" s="23"/>
      <c r="D221" s="25"/>
      <c r="E221" s="25"/>
      <c r="F221" s="25"/>
      <c r="G221" s="25"/>
      <c r="H221" s="25"/>
      <c r="I221" s="25"/>
      <c r="J221" s="25"/>
      <c r="K221" s="121"/>
      <c r="L221" s="109"/>
    </row>
    <row r="222" spans="1:12" s="19" customFormat="1" ht="12.75" x14ac:dyDescent="0.2">
      <c r="A222" s="375" t="s">
        <v>358</v>
      </c>
      <c r="B222" s="295" t="str">
        <f>'Planilha Orçamentária'!D44</f>
        <v>Lajes</v>
      </c>
      <c r="C222" s="23"/>
      <c r="D222" s="25"/>
      <c r="E222" s="25"/>
      <c r="F222" s="25"/>
      <c r="G222" s="25"/>
      <c r="H222" s="25"/>
      <c r="I222" s="25"/>
      <c r="J222" s="25"/>
      <c r="K222" s="121"/>
      <c r="L222" s="109"/>
    </row>
    <row r="223" spans="1:12" s="19" customFormat="1" ht="25.5" customHeight="1" x14ac:dyDescent="0.2">
      <c r="A223" s="110" t="s">
        <v>362</v>
      </c>
      <c r="B223" s="567" t="str">
        <f>'Planilha Orçamentária'!D45</f>
        <v>Escoramento formas até h=3,30 m, com madeira de 3ª qualidade, não aparelhada, aproveitamento tábuas 3x e prumos 4x</v>
      </c>
      <c r="C223" s="568"/>
      <c r="D223" s="25"/>
      <c r="E223" s="25"/>
      <c r="F223" s="25"/>
      <c r="G223" s="25"/>
      <c r="H223" s="25"/>
      <c r="I223" s="25"/>
      <c r="J223" s="25"/>
      <c r="K223" s="121"/>
      <c r="L223" s="109"/>
    </row>
    <row r="224" spans="1:12" s="19" customFormat="1" ht="12.75" x14ac:dyDescent="0.2">
      <c r="A224" s="110"/>
      <c r="B224" s="122" t="s">
        <v>531</v>
      </c>
      <c r="C224" s="23">
        <v>2</v>
      </c>
      <c r="D224" s="23">
        <v>3.85</v>
      </c>
      <c r="E224" s="23">
        <v>2.2999999999999998</v>
      </c>
      <c r="F224" s="23"/>
      <c r="G224" s="23">
        <f>E224*D224</f>
        <v>8.8549999999999986</v>
      </c>
      <c r="H224" s="23"/>
      <c r="I224" s="23"/>
      <c r="J224" s="23"/>
      <c r="K224" s="114">
        <f>TRUNC(G224*C224,2)</f>
        <v>17.71</v>
      </c>
      <c r="L224" s="109"/>
    </row>
    <row r="225" spans="1:12" s="19" customFormat="1" ht="12.75" x14ac:dyDescent="0.2">
      <c r="A225" s="110"/>
      <c r="B225" s="115" t="s">
        <v>9</v>
      </c>
      <c r="C225" s="116"/>
      <c r="D225" s="117"/>
      <c r="E225" s="117"/>
      <c r="F225" s="117"/>
      <c r="G225" s="117"/>
      <c r="H225" s="117"/>
      <c r="I225" s="117"/>
      <c r="J225" s="117"/>
      <c r="K225" s="118">
        <f>SUM(K224:K224)</f>
        <v>17.71</v>
      </c>
      <c r="L225" s="119" t="s">
        <v>6</v>
      </c>
    </row>
    <row r="226" spans="1:12" s="19" customFormat="1" ht="12.75" x14ac:dyDescent="0.2">
      <c r="A226" s="110"/>
      <c r="B226" s="221"/>
      <c r="C226" s="23"/>
      <c r="D226" s="25"/>
      <c r="E226" s="25"/>
      <c r="F226" s="25"/>
      <c r="G226" s="25"/>
      <c r="H226" s="25"/>
      <c r="I226" s="25"/>
      <c r="J226" s="25"/>
      <c r="K226" s="121"/>
      <c r="L226" s="109"/>
    </row>
    <row r="227" spans="1:12" s="19" customFormat="1" ht="12.75" x14ac:dyDescent="0.2">
      <c r="A227" s="110" t="s">
        <v>363</v>
      </c>
      <c r="B227" s="567" t="str">
        <f>'Planilha Orçamentária'!D46</f>
        <v>Fornecimento, dobragem e colocação em fôrma, de armadura CA-60 B fina, diâmetro de 4.0 a 7.0mm</v>
      </c>
      <c r="C227" s="568"/>
      <c r="D227" s="25"/>
      <c r="E227" s="25"/>
      <c r="F227" s="25"/>
      <c r="G227" s="25"/>
      <c r="H227" s="25"/>
      <c r="I227" s="25"/>
      <c r="J227" s="25"/>
      <c r="K227" s="121"/>
      <c r="L227" s="109"/>
    </row>
    <row r="228" spans="1:12" s="19" customFormat="1" ht="12.75" x14ac:dyDescent="0.2">
      <c r="A228" s="110"/>
      <c r="B228" s="122" t="s">
        <v>532</v>
      </c>
      <c r="C228" s="23">
        <f>21*4.23</f>
        <v>88.830000000000013</v>
      </c>
      <c r="D228" s="23"/>
      <c r="E228" s="23"/>
      <c r="F228" s="23"/>
      <c r="G228" s="23"/>
      <c r="H228" s="23"/>
      <c r="I228" s="317">
        <v>0.154</v>
      </c>
      <c r="J228" s="23"/>
      <c r="K228" s="114">
        <f>TRUNC(I228*C228,2)</f>
        <v>13.67</v>
      </c>
      <c r="L228" s="109"/>
    </row>
    <row r="229" spans="1:12" s="19" customFormat="1" ht="12.75" x14ac:dyDescent="0.2">
      <c r="A229" s="110"/>
      <c r="B229" s="122" t="s">
        <v>533</v>
      </c>
      <c r="C229" s="23">
        <f>37*2.6</f>
        <v>96.2</v>
      </c>
      <c r="D229" s="23"/>
      <c r="E229" s="23"/>
      <c r="F229" s="23"/>
      <c r="G229" s="23"/>
      <c r="H229" s="23"/>
      <c r="I229" s="317">
        <v>0.154</v>
      </c>
      <c r="J229" s="23"/>
      <c r="K229" s="114">
        <f t="shared" ref="K229:K238" si="21">TRUNC(I229*C229,2)</f>
        <v>14.81</v>
      </c>
      <c r="L229" s="109"/>
    </row>
    <row r="230" spans="1:12" s="19" customFormat="1" ht="12.75" x14ac:dyDescent="0.2">
      <c r="A230" s="110"/>
      <c r="B230" s="122" t="s">
        <v>534</v>
      </c>
      <c r="C230" s="23">
        <f>15*1.6</f>
        <v>24</v>
      </c>
      <c r="D230" s="23"/>
      <c r="E230" s="23"/>
      <c r="F230" s="23"/>
      <c r="G230" s="23"/>
      <c r="H230" s="23"/>
      <c r="I230" s="317">
        <v>0.154</v>
      </c>
      <c r="J230" s="23"/>
      <c r="K230" s="114">
        <f t="shared" si="21"/>
        <v>3.69</v>
      </c>
      <c r="L230" s="109"/>
    </row>
    <row r="231" spans="1:12" s="19" customFormat="1" ht="12.75" x14ac:dyDescent="0.2">
      <c r="A231" s="110"/>
      <c r="B231" s="122" t="s">
        <v>535</v>
      </c>
      <c r="C231" s="23">
        <f>15*1</f>
        <v>15</v>
      </c>
      <c r="D231" s="23"/>
      <c r="E231" s="23"/>
      <c r="F231" s="23"/>
      <c r="G231" s="23"/>
      <c r="H231" s="23"/>
      <c r="I231" s="317">
        <v>0.154</v>
      </c>
      <c r="J231" s="23"/>
      <c r="K231" s="114">
        <f t="shared" si="21"/>
        <v>2.31</v>
      </c>
      <c r="L231" s="109"/>
    </row>
    <row r="232" spans="1:12" s="19" customFormat="1" ht="12.75" x14ac:dyDescent="0.2">
      <c r="A232" s="110"/>
      <c r="B232" s="122" t="s">
        <v>536</v>
      </c>
      <c r="C232" s="23">
        <f>25*1</f>
        <v>25</v>
      </c>
      <c r="D232" s="23"/>
      <c r="E232" s="23"/>
      <c r="F232" s="23"/>
      <c r="G232" s="23"/>
      <c r="H232" s="23"/>
      <c r="I232" s="317">
        <v>0.154</v>
      </c>
      <c r="J232" s="23"/>
      <c r="K232" s="114">
        <f t="shared" si="21"/>
        <v>3.85</v>
      </c>
      <c r="L232" s="109"/>
    </row>
    <row r="233" spans="1:12" s="19" customFormat="1" ht="12.75" x14ac:dyDescent="0.2">
      <c r="A233" s="110"/>
      <c r="B233" s="122" t="s">
        <v>537</v>
      </c>
      <c r="C233" s="23">
        <f>25*1.6</f>
        <v>40</v>
      </c>
      <c r="D233" s="23"/>
      <c r="E233" s="23"/>
      <c r="F233" s="23"/>
      <c r="G233" s="23"/>
      <c r="H233" s="23"/>
      <c r="I233" s="317">
        <v>0.154</v>
      </c>
      <c r="J233" s="23"/>
      <c r="K233" s="114">
        <f t="shared" si="21"/>
        <v>6.16</v>
      </c>
      <c r="L233" s="109"/>
    </row>
    <row r="234" spans="1:12" s="19" customFormat="1" ht="12.75" x14ac:dyDescent="0.2">
      <c r="A234" s="110"/>
      <c r="B234" s="122" t="s">
        <v>538</v>
      </c>
      <c r="C234" s="23">
        <f>21*4.23</f>
        <v>88.830000000000013</v>
      </c>
      <c r="D234" s="23"/>
      <c r="E234" s="23"/>
      <c r="F234" s="23"/>
      <c r="G234" s="23"/>
      <c r="H234" s="23"/>
      <c r="I234" s="317">
        <v>0.154</v>
      </c>
      <c r="J234" s="23"/>
      <c r="K234" s="114">
        <f t="shared" si="21"/>
        <v>13.67</v>
      </c>
      <c r="L234" s="109"/>
    </row>
    <row r="235" spans="1:12" s="19" customFormat="1" ht="12.75" x14ac:dyDescent="0.2">
      <c r="A235" s="110"/>
      <c r="B235" s="122" t="s">
        <v>539</v>
      </c>
      <c r="C235" s="23">
        <f>37*2.6</f>
        <v>96.2</v>
      </c>
      <c r="D235" s="23"/>
      <c r="E235" s="23"/>
      <c r="F235" s="23"/>
      <c r="G235" s="23"/>
      <c r="H235" s="23"/>
      <c r="I235" s="317">
        <v>0.154</v>
      </c>
      <c r="J235" s="23"/>
      <c r="K235" s="114">
        <f t="shared" si="21"/>
        <v>14.81</v>
      </c>
      <c r="L235" s="109"/>
    </row>
    <row r="236" spans="1:12" s="19" customFormat="1" ht="12.75" x14ac:dyDescent="0.2">
      <c r="A236" s="110"/>
      <c r="B236" s="122" t="s">
        <v>540</v>
      </c>
      <c r="C236" s="23">
        <f>15*1.6</f>
        <v>24</v>
      </c>
      <c r="D236" s="23"/>
      <c r="E236" s="23"/>
      <c r="F236" s="23"/>
      <c r="G236" s="23"/>
      <c r="H236" s="23"/>
      <c r="I236" s="317">
        <v>0.154</v>
      </c>
      <c r="J236" s="23"/>
      <c r="K236" s="114">
        <f t="shared" si="21"/>
        <v>3.69</v>
      </c>
      <c r="L236" s="109"/>
    </row>
    <row r="237" spans="1:12" s="19" customFormat="1" ht="12.75" x14ac:dyDescent="0.2">
      <c r="A237" s="110"/>
      <c r="B237" s="122" t="s">
        <v>541</v>
      </c>
      <c r="C237" s="23">
        <f>15*1</f>
        <v>15</v>
      </c>
      <c r="D237" s="23"/>
      <c r="E237" s="23"/>
      <c r="F237" s="23"/>
      <c r="G237" s="23"/>
      <c r="H237" s="23"/>
      <c r="I237" s="317">
        <v>0.154</v>
      </c>
      <c r="J237" s="23"/>
      <c r="K237" s="114">
        <f t="shared" si="21"/>
        <v>2.31</v>
      </c>
      <c r="L237" s="109"/>
    </row>
    <row r="238" spans="1:12" s="19" customFormat="1" ht="12.75" x14ac:dyDescent="0.2">
      <c r="A238" s="110"/>
      <c r="B238" s="122" t="s">
        <v>542</v>
      </c>
      <c r="C238" s="24">
        <f>25*1</f>
        <v>25</v>
      </c>
      <c r="D238" s="113"/>
      <c r="E238" s="24"/>
      <c r="F238" s="24"/>
      <c r="G238" s="24"/>
      <c r="H238" s="24"/>
      <c r="I238" s="317">
        <v>0.154</v>
      </c>
      <c r="J238" s="24"/>
      <c r="K238" s="114">
        <f t="shared" si="21"/>
        <v>3.85</v>
      </c>
      <c r="L238" s="111"/>
    </row>
    <row r="239" spans="1:12" s="19" customFormat="1" ht="12.75" x14ac:dyDescent="0.2">
      <c r="A239" s="110"/>
      <c r="B239" s="115" t="s">
        <v>9</v>
      </c>
      <c r="C239" s="116"/>
      <c r="D239" s="117"/>
      <c r="E239" s="117"/>
      <c r="F239" s="117"/>
      <c r="G239" s="117"/>
      <c r="H239" s="117"/>
      <c r="I239" s="117"/>
      <c r="J239" s="117"/>
      <c r="K239" s="118">
        <f>SUM(K228:K238)</f>
        <v>82.820000000000007</v>
      </c>
      <c r="L239" s="119" t="s">
        <v>231</v>
      </c>
    </row>
    <row r="240" spans="1:12" s="19" customFormat="1" ht="12.75" x14ac:dyDescent="0.2">
      <c r="A240" s="110"/>
      <c r="B240" s="221"/>
      <c r="C240" s="23"/>
      <c r="D240" s="25"/>
      <c r="E240" s="25"/>
      <c r="F240" s="25"/>
      <c r="G240" s="25"/>
      <c r="H240" s="25"/>
      <c r="I240" s="25"/>
      <c r="J240" s="25"/>
      <c r="K240" s="121"/>
      <c r="L240" s="109"/>
    </row>
    <row r="241" spans="1:12" s="19" customFormat="1" ht="12.75" x14ac:dyDescent="0.2">
      <c r="A241" s="110" t="s">
        <v>364</v>
      </c>
      <c r="B241" s="567" t="str">
        <f>'Planilha Orçamentária'!D47</f>
        <v>Fornecimento, preparo e aplicação de concreto Fck=25 MPa (brita 1 e 2) - (5% de perdas já incluído no custo)</v>
      </c>
      <c r="C241" s="568"/>
      <c r="D241" s="25"/>
      <c r="E241" s="25"/>
      <c r="F241" s="25"/>
      <c r="G241" s="25"/>
      <c r="H241" s="25"/>
      <c r="I241" s="25"/>
      <c r="J241" s="25"/>
      <c r="K241" s="121"/>
      <c r="L241" s="109"/>
    </row>
    <row r="242" spans="1:12" s="19" customFormat="1" ht="12.75" x14ac:dyDescent="0.2">
      <c r="A242" s="110"/>
      <c r="B242" s="122" t="s">
        <v>543</v>
      </c>
      <c r="C242" s="23">
        <v>2</v>
      </c>
      <c r="D242" s="23">
        <v>3.85</v>
      </c>
      <c r="E242" s="23">
        <v>2.2999999999999998</v>
      </c>
      <c r="F242" s="23">
        <v>0.12</v>
      </c>
      <c r="G242" s="23"/>
      <c r="H242" s="23"/>
      <c r="I242" s="23">
        <f>TRUNC(F242*E242*D242,3)</f>
        <v>1.0620000000000001</v>
      </c>
      <c r="J242" s="23"/>
      <c r="K242" s="114">
        <f>TRUNC(I242*C242,2)</f>
        <v>2.12</v>
      </c>
      <c r="L242" s="109"/>
    </row>
    <row r="243" spans="1:12" s="19" customFormat="1" ht="12.75" x14ac:dyDescent="0.2">
      <c r="A243" s="110"/>
      <c r="B243" s="115" t="s">
        <v>9</v>
      </c>
      <c r="C243" s="116"/>
      <c r="D243" s="117"/>
      <c r="E243" s="117"/>
      <c r="F243" s="117"/>
      <c r="G243" s="117"/>
      <c r="H243" s="117"/>
      <c r="I243" s="117"/>
      <c r="J243" s="117"/>
      <c r="K243" s="118">
        <f>K242</f>
        <v>2.12</v>
      </c>
      <c r="L243" s="119" t="s">
        <v>303</v>
      </c>
    </row>
    <row r="244" spans="1:12" s="19" customFormat="1" ht="12.75" x14ac:dyDescent="0.2">
      <c r="A244" s="110"/>
      <c r="B244" s="221"/>
      <c r="C244" s="23"/>
      <c r="D244" s="25"/>
      <c r="E244" s="25"/>
      <c r="F244" s="25"/>
      <c r="G244" s="25"/>
      <c r="H244" s="25"/>
      <c r="I244" s="25"/>
      <c r="J244" s="25"/>
      <c r="K244" s="121"/>
      <c r="L244" s="109"/>
    </row>
    <row r="245" spans="1:12" s="19" customFormat="1" ht="12.75" x14ac:dyDescent="0.2">
      <c r="A245" s="375" t="s">
        <v>361</v>
      </c>
      <c r="B245" s="295" t="str">
        <f>'Planilha Orçamentária'!D48</f>
        <v>Escada</v>
      </c>
      <c r="C245" s="23"/>
      <c r="D245" s="25"/>
      <c r="E245" s="25"/>
      <c r="F245" s="25"/>
      <c r="G245" s="25"/>
      <c r="H245" s="25"/>
      <c r="I245" s="25"/>
      <c r="J245" s="25"/>
      <c r="K245" s="121"/>
      <c r="L245" s="109"/>
    </row>
    <row r="246" spans="1:12" s="19" customFormat="1" ht="12.75" x14ac:dyDescent="0.2">
      <c r="A246" s="110" t="s">
        <v>365</v>
      </c>
      <c r="B246" s="294" t="str">
        <f>'Planilha Orçamentária'!D49</f>
        <v>Escada em concreto armado, fck = 15 Mpa, moldada in loco</v>
      </c>
      <c r="C246" s="23"/>
      <c r="D246" s="25"/>
      <c r="E246" s="25"/>
      <c r="F246" s="25"/>
      <c r="G246" s="25"/>
      <c r="H246" s="25"/>
      <c r="I246" s="25"/>
      <c r="J246" s="25"/>
      <c r="K246" s="121"/>
      <c r="L246" s="109"/>
    </row>
    <row r="247" spans="1:12" s="19" customFormat="1" ht="12.75" x14ac:dyDescent="0.2">
      <c r="A247" s="110"/>
      <c r="B247" s="112" t="s">
        <v>545</v>
      </c>
      <c r="C247" s="24"/>
      <c r="D247" s="113">
        <v>1</v>
      </c>
      <c r="E247" s="24"/>
      <c r="F247" s="24"/>
      <c r="G247" s="24">
        <v>0.3</v>
      </c>
      <c r="H247" s="24">
        <f>TRUNC(G247*D247,2)</f>
        <v>0.3</v>
      </c>
      <c r="I247" s="24"/>
      <c r="J247" s="24"/>
      <c r="K247" s="114">
        <f>H247</f>
        <v>0.3</v>
      </c>
      <c r="L247" s="111"/>
    </row>
    <row r="248" spans="1:12" s="19" customFormat="1" ht="12.75" x14ac:dyDescent="0.2">
      <c r="A248" s="110"/>
      <c r="B248" s="115" t="s">
        <v>9</v>
      </c>
      <c r="C248" s="116"/>
      <c r="D248" s="117"/>
      <c r="E248" s="117"/>
      <c r="F248" s="117"/>
      <c r="G248" s="117"/>
      <c r="H248" s="117"/>
      <c r="I248" s="117"/>
      <c r="J248" s="117"/>
      <c r="K248" s="118">
        <f>K247</f>
        <v>0.3</v>
      </c>
      <c r="L248" s="119" t="s">
        <v>303</v>
      </c>
    </row>
    <row r="249" spans="1:12" s="19" customFormat="1" ht="12.75" x14ac:dyDescent="0.2">
      <c r="A249" s="110"/>
      <c r="B249" s="221"/>
      <c r="C249" s="23"/>
      <c r="D249" s="25"/>
      <c r="E249" s="25"/>
      <c r="F249" s="25"/>
      <c r="G249" s="25"/>
      <c r="H249" s="25"/>
      <c r="I249" s="25"/>
      <c r="J249" s="25"/>
      <c r="K249" s="121"/>
      <c r="L249" s="109"/>
    </row>
    <row r="250" spans="1:12" s="19" customFormat="1" ht="12.75" x14ac:dyDescent="0.2">
      <c r="A250" s="375" t="s">
        <v>369</v>
      </c>
      <c r="B250" s="125" t="str">
        <f>'Planilha Orçamentária'!D50</f>
        <v xml:space="preserve">Base de coleta </v>
      </c>
      <c r="C250" s="23"/>
      <c r="D250" s="25"/>
      <c r="E250" s="25"/>
      <c r="F250" s="25"/>
      <c r="G250" s="25"/>
      <c r="H250" s="25"/>
      <c r="I250" s="25"/>
      <c r="J250" s="25"/>
      <c r="K250" s="121"/>
      <c r="L250" s="109"/>
    </row>
    <row r="251" spans="1:12" s="19" customFormat="1" ht="27" customHeight="1" x14ac:dyDescent="0.2">
      <c r="A251" s="110" t="s">
        <v>372</v>
      </c>
      <c r="B251" s="570" t="str">
        <f>'Planilha Orçamentária'!D51</f>
        <v>Alvenaria de blocos de concreto estrut. (9x19x39cm) cheios, com resistência mín. compr. 15MPa, assentados c/ arg. de
cimento e areia no traço 1:4, esp. juntas 10mm e esp. da parede s/ revest. 9cm</v>
      </c>
      <c r="C251" s="571"/>
      <c r="D251" s="571"/>
      <c r="E251" s="25"/>
      <c r="F251" s="25"/>
      <c r="G251" s="25"/>
      <c r="H251" s="25"/>
      <c r="I251" s="25"/>
      <c r="J251" s="25"/>
      <c r="K251" s="121"/>
      <c r="L251" s="109"/>
    </row>
    <row r="252" spans="1:12" s="19" customFormat="1" ht="12.75" x14ac:dyDescent="0.2">
      <c r="A252" s="110"/>
      <c r="B252" s="328" t="s">
        <v>551</v>
      </c>
      <c r="C252" s="329"/>
      <c r="D252" s="330">
        <v>9.5</v>
      </c>
      <c r="E252" s="23"/>
      <c r="F252" s="317">
        <v>1</v>
      </c>
      <c r="G252" s="23">
        <f>TRUNC(D252*F252,2)</f>
        <v>9.5</v>
      </c>
      <c r="H252" s="23"/>
      <c r="I252" s="23"/>
      <c r="J252" s="23"/>
      <c r="K252" s="114">
        <f>G252</f>
        <v>9.5</v>
      </c>
      <c r="L252" s="109"/>
    </row>
    <row r="253" spans="1:12" s="19" customFormat="1" ht="12.75" x14ac:dyDescent="0.2">
      <c r="A253" s="110"/>
      <c r="B253" s="112" t="s">
        <v>552</v>
      </c>
      <c r="C253" s="24"/>
      <c r="D253" s="113">
        <v>10.88</v>
      </c>
      <c r="E253" s="24"/>
      <c r="F253" s="318">
        <v>0.97499999999999998</v>
      </c>
      <c r="G253" s="23">
        <f>TRUNC(D253*F253,2)</f>
        <v>10.6</v>
      </c>
      <c r="H253" s="24"/>
      <c r="I253" s="24"/>
      <c r="J253" s="24"/>
      <c r="K253" s="114">
        <f t="shared" ref="K253" si="22">G253</f>
        <v>10.6</v>
      </c>
      <c r="L253" s="111"/>
    </row>
    <row r="254" spans="1:12" s="19" customFormat="1" ht="12.75" x14ac:dyDescent="0.2">
      <c r="A254" s="110"/>
      <c r="B254" s="112" t="s">
        <v>553</v>
      </c>
      <c r="C254" s="24">
        <v>2</v>
      </c>
      <c r="D254" s="113"/>
      <c r="E254" s="24"/>
      <c r="F254" s="24"/>
      <c r="G254" s="24">
        <v>0.28000000000000003</v>
      </c>
      <c r="H254" s="24"/>
      <c r="I254" s="24"/>
      <c r="J254" s="24"/>
      <c r="K254" s="114">
        <f>TRUNC(G254*C254,2)</f>
        <v>0.56000000000000005</v>
      </c>
      <c r="L254" s="111"/>
    </row>
    <row r="255" spans="1:12" s="19" customFormat="1" ht="12.75" x14ac:dyDescent="0.2">
      <c r="A255" s="110"/>
      <c r="B255" s="115" t="s">
        <v>9</v>
      </c>
      <c r="C255" s="116"/>
      <c r="D255" s="117"/>
      <c r="E255" s="117"/>
      <c r="F255" s="117"/>
      <c r="G255" s="117"/>
      <c r="H255" s="117"/>
      <c r="I255" s="117"/>
      <c r="J255" s="117"/>
      <c r="K255" s="118">
        <f>SUM(K252:K254)</f>
        <v>20.66</v>
      </c>
      <c r="L255" s="119" t="s">
        <v>6</v>
      </c>
    </row>
    <row r="256" spans="1:12" s="19" customFormat="1" ht="12.75" x14ac:dyDescent="0.2">
      <c r="A256" s="110"/>
      <c r="B256" s="221"/>
      <c r="C256" s="23"/>
      <c r="D256" s="25"/>
      <c r="E256" s="25"/>
      <c r="F256" s="25"/>
      <c r="G256" s="25"/>
      <c r="H256" s="25"/>
      <c r="I256" s="25"/>
      <c r="J256" s="25"/>
      <c r="K256" s="121"/>
      <c r="L256" s="109"/>
    </row>
    <row r="257" spans="1:12" s="19" customFormat="1" ht="12.75" x14ac:dyDescent="0.2">
      <c r="A257" s="110" t="s">
        <v>373</v>
      </c>
      <c r="B257" s="294" t="str">
        <f>'Planilha Orçamentária'!D52</f>
        <v>Lastro de areia</v>
      </c>
      <c r="C257" s="23"/>
      <c r="D257" s="25"/>
      <c r="E257" s="25"/>
      <c r="F257" s="25"/>
      <c r="G257" s="25"/>
      <c r="H257" s="25"/>
      <c r="I257" s="25"/>
      <c r="J257" s="25"/>
      <c r="K257" s="121"/>
      <c r="L257" s="109"/>
    </row>
    <row r="258" spans="1:12" s="19" customFormat="1" ht="12.75" x14ac:dyDescent="0.2">
      <c r="A258" s="110"/>
      <c r="B258" s="328" t="s">
        <v>551</v>
      </c>
      <c r="C258" s="23"/>
      <c r="D258" s="23"/>
      <c r="E258" s="23"/>
      <c r="F258" s="23">
        <v>0.85</v>
      </c>
      <c r="G258" s="23">
        <v>10.14</v>
      </c>
      <c r="H258" s="23"/>
      <c r="I258" s="23"/>
      <c r="J258" s="23"/>
      <c r="K258" s="114">
        <f>TRUNC(G258*F258,2)</f>
        <v>8.61</v>
      </c>
      <c r="L258" s="109"/>
    </row>
    <row r="259" spans="1:12" s="19" customFormat="1" ht="12.75" x14ac:dyDescent="0.2">
      <c r="A259" s="110"/>
      <c r="B259" s="112" t="s">
        <v>552</v>
      </c>
      <c r="C259" s="23"/>
      <c r="D259" s="23"/>
      <c r="E259" s="23"/>
      <c r="F259" s="23">
        <v>0.8</v>
      </c>
      <c r="G259" s="23">
        <v>5</v>
      </c>
      <c r="H259" s="23"/>
      <c r="I259" s="23"/>
      <c r="J259" s="23"/>
      <c r="K259" s="114">
        <f>TRUNC(G259*F259,2)</f>
        <v>4</v>
      </c>
      <c r="L259" s="109"/>
    </row>
    <row r="260" spans="1:12" s="19" customFormat="1" ht="12.75" x14ac:dyDescent="0.2">
      <c r="A260" s="110"/>
      <c r="B260" s="115" t="s">
        <v>9</v>
      </c>
      <c r="C260" s="116"/>
      <c r="D260" s="117"/>
      <c r="E260" s="117"/>
      <c r="F260" s="117"/>
      <c r="G260" s="117"/>
      <c r="H260" s="117"/>
      <c r="I260" s="117"/>
      <c r="J260" s="117"/>
      <c r="K260" s="118">
        <f>SUM(K258:K259)</f>
        <v>12.61</v>
      </c>
      <c r="L260" s="119" t="s">
        <v>303</v>
      </c>
    </row>
    <row r="261" spans="1:12" s="19" customFormat="1" ht="12.75" x14ac:dyDescent="0.2">
      <c r="A261" s="110"/>
      <c r="B261" s="221"/>
      <c r="C261" s="23"/>
      <c r="D261" s="25"/>
      <c r="E261" s="25"/>
      <c r="F261" s="25"/>
      <c r="G261" s="25"/>
      <c r="H261" s="25"/>
      <c r="I261" s="25"/>
      <c r="J261" s="25"/>
      <c r="K261" s="121"/>
      <c r="L261" s="109"/>
    </row>
    <row r="262" spans="1:12" s="19" customFormat="1" ht="15" customHeight="1" x14ac:dyDescent="0.2">
      <c r="A262" s="110" t="s">
        <v>374</v>
      </c>
      <c r="B262" s="294" t="str">
        <f>'Planilha Orçamentária'!D53</f>
        <v>Tela soldada em aço tipo telcon Q-138 para armadura, fornecimento e instalação</v>
      </c>
      <c r="C262" s="23"/>
      <c r="D262" s="25"/>
      <c r="E262" s="25"/>
      <c r="F262" s="25"/>
      <c r="G262" s="25"/>
      <c r="H262" s="25"/>
      <c r="I262" s="25"/>
      <c r="J262" s="25"/>
      <c r="K262" s="121"/>
      <c r="L262" s="109"/>
    </row>
    <row r="263" spans="1:12" s="19" customFormat="1" ht="12.75" x14ac:dyDescent="0.2">
      <c r="A263" s="110"/>
      <c r="B263" s="328" t="s">
        <v>551</v>
      </c>
      <c r="C263" s="23"/>
      <c r="D263" s="25"/>
      <c r="E263" s="25"/>
      <c r="F263" s="25"/>
      <c r="G263" s="23">
        <v>10.14</v>
      </c>
      <c r="H263" s="23"/>
      <c r="I263" s="23"/>
      <c r="J263" s="23"/>
      <c r="K263" s="114">
        <f>G263</f>
        <v>10.14</v>
      </c>
      <c r="L263" s="109"/>
    </row>
    <row r="264" spans="1:12" s="19" customFormat="1" ht="12.75" x14ac:dyDescent="0.2">
      <c r="A264" s="110"/>
      <c r="B264" s="115" t="s">
        <v>9</v>
      </c>
      <c r="C264" s="116"/>
      <c r="D264" s="117"/>
      <c r="E264" s="117"/>
      <c r="F264" s="117"/>
      <c r="G264" s="117"/>
      <c r="H264" s="117"/>
      <c r="I264" s="117"/>
      <c r="J264" s="117"/>
      <c r="K264" s="118">
        <f>SUM(K263:K263)</f>
        <v>10.14</v>
      </c>
      <c r="L264" s="119" t="s">
        <v>6</v>
      </c>
    </row>
    <row r="265" spans="1:12" s="19" customFormat="1" ht="12.75" x14ac:dyDescent="0.2">
      <c r="A265" s="110"/>
      <c r="B265" s="221"/>
      <c r="C265" s="23"/>
      <c r="D265" s="25"/>
      <c r="E265" s="25"/>
      <c r="F265" s="25"/>
      <c r="G265" s="25"/>
      <c r="H265" s="25"/>
      <c r="I265" s="25"/>
      <c r="J265" s="25"/>
      <c r="K265" s="121"/>
      <c r="L265" s="109"/>
    </row>
    <row r="266" spans="1:12" s="19" customFormat="1" ht="12.75" x14ac:dyDescent="0.2">
      <c r="A266" s="110" t="s">
        <v>375</v>
      </c>
      <c r="B266" s="294" t="str">
        <f>'Planilha Orçamentária'!D54</f>
        <v>Lastro impermeabilizado de concreto não estrutural, espessura de 8cm</v>
      </c>
      <c r="C266" s="23"/>
      <c r="D266" s="25"/>
      <c r="E266" s="25"/>
      <c r="F266" s="25"/>
      <c r="G266" s="25"/>
      <c r="H266" s="25"/>
      <c r="I266" s="25"/>
      <c r="J266" s="25"/>
      <c r="K266" s="121"/>
      <c r="L266" s="109"/>
    </row>
    <row r="267" spans="1:12" s="19" customFormat="1" ht="12.75" x14ac:dyDescent="0.2">
      <c r="A267" s="110"/>
      <c r="B267" s="328" t="s">
        <v>551</v>
      </c>
      <c r="C267" s="23"/>
      <c r="D267" s="25"/>
      <c r="E267" s="25"/>
      <c r="F267" s="25"/>
      <c r="G267" s="23">
        <v>10.14</v>
      </c>
      <c r="H267" s="23"/>
      <c r="I267" s="23"/>
      <c r="J267" s="23"/>
      <c r="K267" s="114">
        <f>G267</f>
        <v>10.14</v>
      </c>
      <c r="L267" s="111"/>
    </row>
    <row r="268" spans="1:12" s="19" customFormat="1" ht="12.75" x14ac:dyDescent="0.2">
      <c r="A268" s="110"/>
      <c r="B268" s="112" t="s">
        <v>552</v>
      </c>
      <c r="C268" s="23"/>
      <c r="D268" s="25"/>
      <c r="E268" s="25"/>
      <c r="F268" s="25"/>
      <c r="G268" s="23">
        <v>5</v>
      </c>
      <c r="H268" s="23"/>
      <c r="I268" s="23"/>
      <c r="J268" s="23"/>
      <c r="K268" s="114">
        <f>G268</f>
        <v>5</v>
      </c>
      <c r="L268" s="111"/>
    </row>
    <row r="269" spans="1:12" s="19" customFormat="1" ht="12.75" x14ac:dyDescent="0.2">
      <c r="A269" s="110"/>
      <c r="B269" s="115" t="s">
        <v>9</v>
      </c>
      <c r="C269" s="116"/>
      <c r="D269" s="117"/>
      <c r="E269" s="117"/>
      <c r="F269" s="117"/>
      <c r="G269" s="117"/>
      <c r="H269" s="117"/>
      <c r="I269" s="117"/>
      <c r="J269" s="117"/>
      <c r="K269" s="118">
        <f>SUM(K267:K268)</f>
        <v>15.14</v>
      </c>
      <c r="L269" s="119" t="s">
        <v>6</v>
      </c>
    </row>
    <row r="270" spans="1:12" s="19" customFormat="1" ht="12.75" x14ac:dyDescent="0.2">
      <c r="A270" s="110"/>
      <c r="B270" s="221"/>
      <c r="C270" s="23"/>
      <c r="D270" s="25"/>
      <c r="E270" s="25"/>
      <c r="F270" s="25"/>
      <c r="G270" s="25"/>
      <c r="H270" s="25"/>
      <c r="I270" s="25"/>
      <c r="J270" s="25"/>
      <c r="K270" s="121"/>
      <c r="L270" s="109"/>
    </row>
    <row r="271" spans="1:12" s="19" customFormat="1" ht="12.75" x14ac:dyDescent="0.2">
      <c r="A271" s="375" t="s">
        <v>376</v>
      </c>
      <c r="B271" s="295" t="str">
        <f>'Planilha Orçamentária'!D55</f>
        <v>Pisos e calçadas</v>
      </c>
      <c r="C271" s="23"/>
      <c r="D271" s="25"/>
      <c r="E271" s="25"/>
      <c r="F271" s="25"/>
      <c r="G271" s="25"/>
      <c r="H271" s="25"/>
      <c r="I271" s="25"/>
      <c r="J271" s="25"/>
      <c r="K271" s="121"/>
      <c r="L271" s="109"/>
    </row>
    <row r="272" spans="1:12" s="19" customFormat="1" ht="28.5" customHeight="1" x14ac:dyDescent="0.2">
      <c r="A272" s="110" t="s">
        <v>378</v>
      </c>
      <c r="B272" s="567" t="str">
        <f>'Planilha Orçamentária'!D56</f>
        <v>Fornecimento, preparo e aplicação de concreto magro com consumo mínimo de cimento de 250 kg/m3 (brita 1 e 2) - (5% de perdas já incluído no custo)</v>
      </c>
      <c r="C272" s="568"/>
      <c r="D272" s="25"/>
      <c r="E272" s="25"/>
      <c r="F272" s="25"/>
      <c r="G272" s="25"/>
      <c r="H272" s="25"/>
      <c r="I272" s="25"/>
      <c r="J272" s="25"/>
      <c r="K272" s="121"/>
      <c r="L272" s="109"/>
    </row>
    <row r="273" spans="1:12" s="19" customFormat="1" ht="12.75" x14ac:dyDescent="0.2">
      <c r="A273" s="110"/>
      <c r="B273" s="122" t="s">
        <v>188</v>
      </c>
      <c r="F273" s="19">
        <v>0.05</v>
      </c>
      <c r="G273" s="19">
        <f>127.12+9.6</f>
        <v>136.72</v>
      </c>
      <c r="H273" s="19">
        <f>TRUNC(G273*F273,2)</f>
        <v>6.83</v>
      </c>
      <c r="K273" s="145">
        <f>H273</f>
        <v>6.83</v>
      </c>
      <c r="L273" s="203"/>
    </row>
    <row r="274" spans="1:12" s="19" customFormat="1" ht="12.75" x14ac:dyDescent="0.2">
      <c r="A274" s="110"/>
      <c r="B274" s="122" t="s">
        <v>267</v>
      </c>
      <c r="F274" s="19">
        <v>0.05</v>
      </c>
      <c r="G274" s="19">
        <f>15.29+2.76+2.76+8.85+8.85+6.9+8.05</f>
        <v>53.459999999999994</v>
      </c>
      <c r="H274" s="19">
        <f>TRUNC(G274*F274,2)</f>
        <v>2.67</v>
      </c>
      <c r="K274" s="145">
        <f>H274</f>
        <v>2.67</v>
      </c>
      <c r="L274" s="203"/>
    </row>
    <row r="275" spans="1:12" s="19" customFormat="1" ht="12.75" x14ac:dyDescent="0.2">
      <c r="A275" s="110"/>
      <c r="B275" s="115" t="s">
        <v>9</v>
      </c>
      <c r="C275" s="116"/>
      <c r="D275" s="117"/>
      <c r="E275" s="117"/>
      <c r="F275" s="117"/>
      <c r="G275" s="117"/>
      <c r="H275" s="117"/>
      <c r="I275" s="117"/>
      <c r="J275" s="117"/>
      <c r="K275" s="118">
        <f>SUM(K273:K274)</f>
        <v>9.5</v>
      </c>
      <c r="L275" s="119" t="s">
        <v>303</v>
      </c>
    </row>
    <row r="276" spans="1:12" s="19" customFormat="1" ht="12.75" x14ac:dyDescent="0.2">
      <c r="A276" s="110"/>
      <c r="B276" s="325"/>
      <c r="C276" s="23"/>
      <c r="D276" s="25"/>
      <c r="E276" s="25"/>
      <c r="F276" s="25"/>
      <c r="G276" s="25"/>
      <c r="H276" s="25"/>
      <c r="I276" s="25"/>
      <c r="J276" s="25"/>
      <c r="K276" s="121"/>
      <c r="L276" s="109"/>
    </row>
    <row r="277" spans="1:12" s="19" customFormat="1" ht="25.5" x14ac:dyDescent="0.2">
      <c r="A277" s="110" t="s">
        <v>382</v>
      </c>
      <c r="B277" s="291" t="str">
        <f>'Planilha Orçamentária'!D57</f>
        <v>Contrapiso em argamassa, traço 1:4 (cimento e areia), preparo manual, aplicado em áreas secas sobre laje, aderido, espessura 2cm.</v>
      </c>
      <c r="C277" s="23"/>
      <c r="D277" s="25"/>
      <c r="E277" s="25"/>
      <c r="F277" s="25"/>
      <c r="G277" s="25"/>
      <c r="H277" s="25"/>
      <c r="I277" s="25"/>
      <c r="J277" s="25"/>
      <c r="K277" s="121"/>
      <c r="L277" s="109"/>
    </row>
    <row r="278" spans="1:12" s="19" customFormat="1" ht="12.75" x14ac:dyDescent="0.2">
      <c r="A278" s="110"/>
      <c r="B278" s="122" t="s">
        <v>554</v>
      </c>
      <c r="G278" s="19">
        <f>127.12-5.91</f>
        <v>121.21000000000001</v>
      </c>
      <c r="K278" s="145">
        <f>G278</f>
        <v>121.21000000000001</v>
      </c>
      <c r="L278" s="203"/>
    </row>
    <row r="279" spans="1:12" s="19" customFormat="1" ht="12.75" x14ac:dyDescent="0.2">
      <c r="A279" s="110"/>
      <c r="B279" s="122" t="s">
        <v>267</v>
      </c>
      <c r="G279" s="19">
        <f>15.29+4.14+8.85+8.85+9.6+6.9</f>
        <v>53.63</v>
      </c>
      <c r="K279" s="145">
        <f>G279</f>
        <v>53.63</v>
      </c>
      <c r="L279" s="203"/>
    </row>
    <row r="280" spans="1:12" s="19" customFormat="1" ht="12.75" x14ac:dyDescent="0.2">
      <c r="A280" s="110"/>
      <c r="B280" s="115" t="s">
        <v>9</v>
      </c>
      <c r="C280" s="116"/>
      <c r="D280" s="117"/>
      <c r="E280" s="117"/>
      <c r="F280" s="117"/>
      <c r="G280" s="117"/>
      <c r="H280" s="117"/>
      <c r="I280" s="117"/>
      <c r="J280" s="117"/>
      <c r="K280" s="118">
        <f>SUM(K278:K279)</f>
        <v>174.84</v>
      </c>
      <c r="L280" s="119" t="s">
        <v>6</v>
      </c>
    </row>
    <row r="281" spans="1:12" s="19" customFormat="1" ht="12.75" x14ac:dyDescent="0.2">
      <c r="A281" s="110"/>
      <c r="B281" s="221"/>
      <c r="C281" s="23"/>
      <c r="D281" s="25"/>
      <c r="E281" s="25"/>
      <c r="F281" s="25"/>
      <c r="G281" s="25"/>
      <c r="H281" s="25"/>
      <c r="I281" s="25"/>
      <c r="J281" s="25"/>
      <c r="K281" s="121"/>
      <c r="L281" s="109"/>
    </row>
    <row r="282" spans="1:12" s="19" customFormat="1" ht="25.5" x14ac:dyDescent="0.2">
      <c r="A282" s="110" t="s">
        <v>556</v>
      </c>
      <c r="B282" s="291" t="str">
        <f>'Planilha Orçamentária'!D58</f>
        <v>Execução de passeio (calçada) ou piso de concreto com croncreto moldado in loco, feito em obra, acabamento convencional, não armado</v>
      </c>
      <c r="C282" s="23"/>
      <c r="D282" s="25"/>
      <c r="E282" s="25"/>
      <c r="F282" s="25"/>
      <c r="G282" s="25"/>
      <c r="H282" s="25"/>
      <c r="I282" s="25"/>
      <c r="J282" s="25"/>
      <c r="K282" s="121"/>
      <c r="L282" s="109"/>
    </row>
    <row r="283" spans="1:12" s="19" customFormat="1" ht="12.75" x14ac:dyDescent="0.2">
      <c r="A283" s="184"/>
      <c r="B283" s="122" t="s">
        <v>557</v>
      </c>
      <c r="D283" s="19">
        <v>16.75</v>
      </c>
      <c r="E283" s="19">
        <v>0.8</v>
      </c>
      <c r="F283" s="19">
        <v>0.1</v>
      </c>
      <c r="H283" s="19">
        <f>TRUNC(D283*E283*F283,2)</f>
        <v>1.34</v>
      </c>
      <c r="K283" s="145">
        <f>H283</f>
        <v>1.34</v>
      </c>
      <c r="L283" s="111"/>
    </row>
    <row r="284" spans="1:12" s="19" customFormat="1" ht="12.75" x14ac:dyDescent="0.2">
      <c r="A284" s="110"/>
      <c r="B284" s="115" t="s">
        <v>9</v>
      </c>
      <c r="C284" s="116"/>
      <c r="D284" s="117"/>
      <c r="E284" s="117"/>
      <c r="F284" s="117"/>
      <c r="G284" s="117"/>
      <c r="H284" s="117"/>
      <c r="I284" s="117"/>
      <c r="J284" s="117"/>
      <c r="K284" s="118">
        <f>K283</f>
        <v>1.34</v>
      </c>
      <c r="L284" s="119" t="s">
        <v>303</v>
      </c>
    </row>
    <row r="285" spans="1:12" s="19" customFormat="1" ht="12.75" x14ac:dyDescent="0.2">
      <c r="A285" s="110"/>
      <c r="B285" s="221"/>
      <c r="C285" s="23"/>
      <c r="D285" s="25"/>
      <c r="E285" s="25"/>
      <c r="F285" s="25"/>
      <c r="G285" s="25"/>
      <c r="H285" s="25"/>
      <c r="I285" s="25"/>
      <c r="J285" s="25"/>
      <c r="K285" s="121"/>
      <c r="L285" s="109"/>
    </row>
    <row r="286" spans="1:12" s="19" customFormat="1" ht="12.75" x14ac:dyDescent="0.2">
      <c r="A286" s="124" t="s">
        <v>689</v>
      </c>
      <c r="B286" s="125" t="str">
        <f>'Planilha Orçamentária'!D61</f>
        <v>PAREDES E DIVISÓRIAS</v>
      </c>
      <c r="C286" s="24"/>
      <c r="D286" s="113"/>
      <c r="E286" s="24"/>
      <c r="F286" s="24"/>
      <c r="G286" s="24"/>
      <c r="H286" s="24"/>
      <c r="I286" s="24"/>
      <c r="J286" s="24"/>
      <c r="K286" s="114"/>
      <c r="L286" s="111"/>
    </row>
    <row r="287" spans="1:12" s="132" customFormat="1" ht="27" customHeight="1" x14ac:dyDescent="0.2">
      <c r="A287" s="110" t="s">
        <v>690</v>
      </c>
      <c r="B287" s="567" t="str">
        <f>'Planilha Orçamentária'!D62</f>
        <v>Alvenaria estrutural de blocos cerâmicos 14x19x39 (espessura de 14 cm), para paredes com área líquida maior ou igual que 6 m², sem vãos, uilizando palheta e argamassa de assentamento com preparo em betoneira</v>
      </c>
      <c r="C287" s="568"/>
      <c r="D287" s="568"/>
      <c r="E287" s="286"/>
      <c r="F287" s="286"/>
      <c r="G287" s="286"/>
      <c r="H287" s="286"/>
      <c r="I287" s="286"/>
      <c r="J287" s="286"/>
      <c r="K287" s="135"/>
      <c r="L287" s="111"/>
    </row>
    <row r="288" spans="1:12" s="19" customFormat="1" ht="12.75" x14ac:dyDescent="0.2">
      <c r="A288" s="110"/>
      <c r="B288" s="112" t="s">
        <v>561</v>
      </c>
      <c r="C288" s="126"/>
      <c r="D288" s="113">
        <f>6.35+4.9</f>
        <v>11.25</v>
      </c>
      <c r="E288" s="113"/>
      <c r="F288" s="24">
        <v>4.5</v>
      </c>
      <c r="G288" s="24">
        <f>F288*D288</f>
        <v>50.625</v>
      </c>
      <c r="H288" s="24"/>
      <c r="I288" s="24"/>
      <c r="J288" s="24">
        <f>(5.15*0.8)+(0.8*2.1)+(2.2*0.8)</f>
        <v>7.5600000000000005</v>
      </c>
      <c r="K288" s="114">
        <f>TRUNC(G288-J288,2)</f>
        <v>43.06</v>
      </c>
      <c r="L288" s="111"/>
    </row>
    <row r="289" spans="1:12" s="19" customFormat="1" ht="12.75" x14ac:dyDescent="0.2">
      <c r="A289" s="110"/>
      <c r="B289" s="112" t="s">
        <v>562</v>
      </c>
      <c r="C289" s="126"/>
      <c r="D289" s="113"/>
      <c r="E289" s="113"/>
      <c r="F289" s="24"/>
      <c r="G289" s="24">
        <v>21.09</v>
      </c>
      <c r="H289" s="24"/>
      <c r="I289" s="24"/>
      <c r="J289" s="24">
        <f>2*0.8*2</f>
        <v>3.2</v>
      </c>
      <c r="K289" s="114">
        <f>TRUNC(G289-J289,2)</f>
        <v>17.89</v>
      </c>
      <c r="L289" s="111"/>
    </row>
    <row r="290" spans="1:12" s="19" customFormat="1" ht="12.75" x14ac:dyDescent="0.2">
      <c r="A290" s="110"/>
      <c r="B290" s="112" t="s">
        <v>560</v>
      </c>
      <c r="C290" s="126"/>
      <c r="D290" s="113">
        <f>6.35+4.9</f>
        <v>11.25</v>
      </c>
      <c r="E290" s="113"/>
      <c r="F290" s="24">
        <v>3.85</v>
      </c>
      <c r="G290" s="24">
        <f>F290*D290</f>
        <v>43.3125</v>
      </c>
      <c r="H290" s="24"/>
      <c r="I290" s="24"/>
      <c r="J290" s="24">
        <f>(2*1.2)+(2.2*0.8)</f>
        <v>4.16</v>
      </c>
      <c r="K290" s="114">
        <f>TRUNC(G290-J290,2)</f>
        <v>39.15</v>
      </c>
      <c r="L290" s="111"/>
    </row>
    <row r="291" spans="1:12" s="19" customFormat="1" ht="12.75" x14ac:dyDescent="0.2">
      <c r="A291" s="110"/>
      <c r="B291" s="112" t="s">
        <v>563</v>
      </c>
      <c r="C291" s="126"/>
      <c r="D291" s="113"/>
      <c r="E291" s="113"/>
      <c r="F291" s="24"/>
      <c r="G291" s="24">
        <v>21.09</v>
      </c>
      <c r="H291" s="24"/>
      <c r="I291" s="24"/>
      <c r="J291" s="24">
        <f>(1.5*1.2)+(2.3*0.8)</f>
        <v>3.6399999999999997</v>
      </c>
      <c r="K291" s="114">
        <f t="shared" ref="K291" si="23">TRUNC(G291-J291,2)</f>
        <v>17.45</v>
      </c>
      <c r="L291" s="111"/>
    </row>
    <row r="292" spans="1:12" s="19" customFormat="1" ht="12.75" x14ac:dyDescent="0.2">
      <c r="A292" s="110"/>
      <c r="B292" s="112" t="s">
        <v>564</v>
      </c>
      <c r="C292" s="126"/>
      <c r="D292" s="113">
        <f>6.25+2.3</f>
        <v>8.5500000000000007</v>
      </c>
      <c r="E292" s="113"/>
      <c r="F292" s="24">
        <v>3</v>
      </c>
      <c r="G292" s="24">
        <f>F292*D292</f>
        <v>25.650000000000002</v>
      </c>
      <c r="H292" s="24"/>
      <c r="I292" s="24"/>
      <c r="J292" s="24">
        <f>0.8*2.1</f>
        <v>1.6800000000000002</v>
      </c>
      <c r="K292" s="114">
        <f>TRUNC(G292-J292,2)</f>
        <v>23.97</v>
      </c>
      <c r="L292" s="111"/>
    </row>
    <row r="293" spans="1:12" s="19" customFormat="1" ht="12.75" x14ac:dyDescent="0.2">
      <c r="A293" s="110"/>
      <c r="B293" s="112" t="s">
        <v>565</v>
      </c>
      <c r="C293" s="126"/>
      <c r="D293" s="113">
        <v>2.2999999999999998</v>
      </c>
      <c r="E293" s="113"/>
      <c r="F293" s="24">
        <v>3</v>
      </c>
      <c r="G293" s="24">
        <f>F293*D293</f>
        <v>6.8999999999999995</v>
      </c>
      <c r="H293" s="24"/>
      <c r="I293" s="24"/>
      <c r="J293" s="24">
        <f>0.8*2.1</f>
        <v>1.6800000000000002</v>
      </c>
      <c r="K293" s="114">
        <f>TRUNC(G293-J293,2)</f>
        <v>5.22</v>
      </c>
      <c r="L293" s="111"/>
    </row>
    <row r="294" spans="1:12" s="19" customFormat="1" ht="12.75" x14ac:dyDescent="0.2">
      <c r="A294" s="110"/>
      <c r="B294" s="112" t="s">
        <v>566</v>
      </c>
      <c r="C294" s="126"/>
      <c r="D294" s="113">
        <f>1.15+1.35</f>
        <v>2.5</v>
      </c>
      <c r="E294" s="113"/>
      <c r="F294" s="24">
        <v>3</v>
      </c>
      <c r="G294" s="24">
        <f>F294*D294</f>
        <v>7.5</v>
      </c>
      <c r="H294" s="24"/>
      <c r="I294" s="24"/>
      <c r="J294" s="24">
        <f>0.8*2.1</f>
        <v>1.6800000000000002</v>
      </c>
      <c r="K294" s="114">
        <f>TRUNC(G294-J294,2)</f>
        <v>5.82</v>
      </c>
      <c r="L294" s="111"/>
    </row>
    <row r="295" spans="1:12" s="19" customFormat="1" ht="12.75" x14ac:dyDescent="0.2">
      <c r="A295" s="110"/>
      <c r="B295" s="112" t="s">
        <v>568</v>
      </c>
      <c r="C295" s="126"/>
      <c r="D295" s="113">
        <f>3.65+2.3</f>
        <v>5.9499999999999993</v>
      </c>
      <c r="E295" s="113"/>
      <c r="F295" s="24">
        <v>3</v>
      </c>
      <c r="G295" s="24">
        <f>F295*D295</f>
        <v>17.849999999999998</v>
      </c>
      <c r="H295" s="24"/>
      <c r="I295" s="24"/>
      <c r="J295" s="24">
        <f>0.8*2.1</f>
        <v>1.6800000000000002</v>
      </c>
      <c r="K295" s="114">
        <f>TRUNC(G295-J295,2)</f>
        <v>16.170000000000002</v>
      </c>
      <c r="L295" s="111"/>
    </row>
    <row r="296" spans="1:12" s="19" customFormat="1" ht="12.75" x14ac:dyDescent="0.2">
      <c r="A296" s="110"/>
      <c r="B296" s="112" t="s">
        <v>567</v>
      </c>
      <c r="C296" s="126"/>
      <c r="D296" s="113">
        <v>2.2999999999999998</v>
      </c>
      <c r="E296" s="113"/>
      <c r="F296" s="24">
        <v>3</v>
      </c>
      <c r="G296" s="24">
        <f>F296*D296</f>
        <v>6.8999999999999995</v>
      </c>
      <c r="H296" s="24"/>
      <c r="I296" s="24"/>
      <c r="J296" s="24">
        <f>0.8*2.1</f>
        <v>1.6800000000000002</v>
      </c>
      <c r="K296" s="114">
        <f>TRUNC(G296-J296,2)</f>
        <v>5.22</v>
      </c>
      <c r="L296" s="111"/>
    </row>
    <row r="297" spans="1:12" s="132" customFormat="1" ht="15" customHeight="1" x14ac:dyDescent="0.2">
      <c r="A297" s="110"/>
      <c r="B297" s="115" t="s">
        <v>9</v>
      </c>
      <c r="C297" s="116"/>
      <c r="D297" s="117"/>
      <c r="E297" s="117"/>
      <c r="F297" s="117"/>
      <c r="G297" s="117"/>
      <c r="H297" s="117"/>
      <c r="I297" s="117"/>
      <c r="J297" s="117"/>
      <c r="K297" s="118">
        <f>SUM(K288:K296)</f>
        <v>173.94999999999996</v>
      </c>
      <c r="L297" s="119" t="s">
        <v>6</v>
      </c>
    </row>
    <row r="298" spans="1:12" s="132" customFormat="1" ht="15" customHeight="1" x14ac:dyDescent="0.2">
      <c r="A298" s="110"/>
      <c r="B298" s="120"/>
      <c r="C298" s="23"/>
      <c r="D298" s="25"/>
      <c r="E298" s="25"/>
      <c r="F298" s="25"/>
      <c r="G298" s="25"/>
      <c r="H298" s="25"/>
      <c r="I298" s="25"/>
      <c r="J298" s="25"/>
      <c r="K298" s="121"/>
      <c r="L298" s="109"/>
    </row>
    <row r="299" spans="1:12" s="132" customFormat="1" ht="24.75" customHeight="1" x14ac:dyDescent="0.2">
      <c r="A299" s="110" t="s">
        <v>691</v>
      </c>
      <c r="B299" s="570" t="str">
        <f>'Planilha Orçamentária'!D63</f>
        <v>Alvenaria de blocos de concreto estrut. (14x19x39cm) cheios, c/ resist. mín. compr. 15MPa, assentados c/ arg. de cimento
e areia no traço 1:4, esp. juntas 10mm e esp. da parede s/ revest. 14cm</v>
      </c>
      <c r="C299" s="571"/>
      <c r="D299" s="571"/>
      <c r="E299" s="286"/>
      <c r="F299" s="286"/>
      <c r="G299" s="286"/>
      <c r="H299" s="286"/>
      <c r="I299" s="286"/>
      <c r="J299" s="286"/>
      <c r="K299" s="135"/>
      <c r="L299" s="109"/>
    </row>
    <row r="300" spans="1:12" s="132" customFormat="1" ht="15" customHeight="1" x14ac:dyDescent="0.2">
      <c r="A300" s="110"/>
      <c r="B300" s="112" t="s">
        <v>188</v>
      </c>
      <c r="C300" s="23"/>
      <c r="D300" s="23">
        <f>3.8*4+3.5+1.4</f>
        <v>20.099999999999998</v>
      </c>
      <c r="E300" s="23"/>
      <c r="F300" s="23">
        <v>2</v>
      </c>
      <c r="G300" s="23">
        <f>TRUNC(F300*D300,2)</f>
        <v>40.200000000000003</v>
      </c>
      <c r="H300" s="23"/>
      <c r="I300" s="23"/>
      <c r="J300" s="23"/>
      <c r="K300" s="114">
        <f>G300</f>
        <v>40.200000000000003</v>
      </c>
      <c r="L300" s="111"/>
    </row>
    <row r="301" spans="1:12" s="132" customFormat="1" ht="15" customHeight="1" x14ac:dyDescent="0.2">
      <c r="A301" s="110"/>
      <c r="B301" s="115" t="s">
        <v>9</v>
      </c>
      <c r="C301" s="116"/>
      <c r="D301" s="117"/>
      <c r="E301" s="117"/>
      <c r="F301" s="117"/>
      <c r="G301" s="117"/>
      <c r="H301" s="117"/>
      <c r="I301" s="117"/>
      <c r="J301" s="117"/>
      <c r="K301" s="118">
        <f>K300</f>
        <v>40.200000000000003</v>
      </c>
      <c r="L301" s="222" t="s">
        <v>6</v>
      </c>
    </row>
    <row r="302" spans="1:12" s="132" customFormat="1" ht="15" customHeight="1" x14ac:dyDescent="0.2">
      <c r="A302" s="110"/>
      <c r="B302" s="221"/>
      <c r="C302" s="23"/>
      <c r="D302" s="25"/>
      <c r="E302" s="25"/>
      <c r="F302" s="25"/>
      <c r="G302" s="25"/>
      <c r="H302" s="25"/>
      <c r="I302" s="25"/>
      <c r="J302" s="25"/>
      <c r="K302" s="121"/>
      <c r="L302" s="109"/>
    </row>
    <row r="303" spans="1:12" s="132" customFormat="1" ht="15" customHeight="1" x14ac:dyDescent="0.2">
      <c r="A303" s="110" t="s">
        <v>692</v>
      </c>
      <c r="B303" s="570" t="str">
        <f>'Planilha Orçamentária'!D64</f>
        <v>Verga/contraverga reta de concreto armado 10 x 5 cm, Fck = 15 MPa, inclusive forma, armação e desforma</v>
      </c>
      <c r="C303" s="571"/>
      <c r="D303" s="571"/>
      <c r="E303" s="571"/>
      <c r="F303" s="571"/>
      <c r="G303" s="571"/>
      <c r="H303" s="571"/>
      <c r="I303" s="571"/>
      <c r="J303" s="571"/>
      <c r="K303" s="572"/>
      <c r="L303" s="109"/>
    </row>
    <row r="304" spans="1:12" s="132" customFormat="1" ht="15" customHeight="1" x14ac:dyDescent="0.2">
      <c r="A304" s="110"/>
      <c r="B304" s="328" t="s">
        <v>569</v>
      </c>
      <c r="C304" s="339">
        <v>6</v>
      </c>
      <c r="D304" s="339">
        <f>0.8+0.3+0.3</f>
        <v>1.4000000000000001</v>
      </c>
      <c r="E304" s="339"/>
      <c r="F304" s="339"/>
      <c r="G304" s="339"/>
      <c r="H304" s="339"/>
      <c r="I304" s="339"/>
      <c r="J304" s="339"/>
      <c r="K304" s="163">
        <f>TRUNC(D304*C304,2)</f>
        <v>8.4</v>
      </c>
      <c r="L304" s="109"/>
    </row>
    <row r="305" spans="1:12" s="132" customFormat="1" ht="15" customHeight="1" x14ac:dyDescent="0.2">
      <c r="A305" s="110"/>
      <c r="B305" s="328" t="s">
        <v>812</v>
      </c>
      <c r="C305" s="339">
        <v>1</v>
      </c>
      <c r="D305" s="339">
        <f>1.5+0.45+0.45</f>
        <v>2.4</v>
      </c>
      <c r="E305" s="339"/>
      <c r="F305" s="339"/>
      <c r="G305" s="339"/>
      <c r="H305" s="339"/>
      <c r="I305" s="339"/>
      <c r="J305" s="339"/>
      <c r="K305" s="163">
        <f t="shared" ref="K305:K306" si="24">TRUNC(D305*C305,2)</f>
        <v>2.4</v>
      </c>
      <c r="L305" s="109"/>
    </row>
    <row r="306" spans="1:12" s="132" customFormat="1" ht="15" customHeight="1" x14ac:dyDescent="0.2">
      <c r="A306" s="110"/>
      <c r="B306" s="328" t="s">
        <v>813</v>
      </c>
      <c r="C306" s="339">
        <v>1</v>
      </c>
      <c r="D306" s="339">
        <f>2+0.45+0.45</f>
        <v>2.9000000000000004</v>
      </c>
      <c r="E306" s="339"/>
      <c r="F306" s="339"/>
      <c r="G306" s="339"/>
      <c r="H306" s="339"/>
      <c r="I306" s="339"/>
      <c r="J306" s="339"/>
      <c r="K306" s="163">
        <f t="shared" si="24"/>
        <v>2.9</v>
      </c>
      <c r="L306" s="109"/>
    </row>
    <row r="307" spans="1:12" s="132" customFormat="1" ht="15" customHeight="1" x14ac:dyDescent="0.2">
      <c r="A307" s="110"/>
      <c r="B307" s="115" t="s">
        <v>9</v>
      </c>
      <c r="C307" s="116"/>
      <c r="D307" s="117"/>
      <c r="E307" s="117"/>
      <c r="F307" s="117"/>
      <c r="G307" s="117"/>
      <c r="H307" s="117"/>
      <c r="I307" s="117"/>
      <c r="J307" s="117"/>
      <c r="K307" s="118">
        <f>SUM(K304:K306)</f>
        <v>13.700000000000001</v>
      </c>
      <c r="L307" s="222" t="s">
        <v>5</v>
      </c>
    </row>
    <row r="308" spans="1:12" s="132" customFormat="1" ht="15" customHeight="1" x14ac:dyDescent="0.2">
      <c r="A308" s="110"/>
      <c r="B308" s="221"/>
      <c r="C308" s="23"/>
      <c r="D308" s="25"/>
      <c r="E308" s="25"/>
      <c r="F308" s="25"/>
      <c r="G308" s="25"/>
      <c r="H308" s="25"/>
      <c r="I308" s="25"/>
      <c r="J308" s="25"/>
      <c r="K308" s="121"/>
      <c r="L308" s="109"/>
    </row>
    <row r="309" spans="1:12" s="132" customFormat="1" ht="15" customHeight="1" x14ac:dyDescent="0.2">
      <c r="A309" s="110" t="s">
        <v>693</v>
      </c>
      <c r="B309" s="567" t="str">
        <f>'Planilha Orçamentária'!D65</f>
        <v>Divisória de granito com 3 cm de espessura, assentada com argamassa de cimento e areia no traço 1:3, na cor cinza</v>
      </c>
      <c r="C309" s="568"/>
      <c r="D309" s="568"/>
      <c r="E309" s="568"/>
      <c r="F309" s="568"/>
      <c r="G309" s="568"/>
      <c r="H309" s="568"/>
      <c r="I309" s="568"/>
      <c r="J309" s="568"/>
      <c r="K309" s="569"/>
      <c r="L309" s="135"/>
    </row>
    <row r="310" spans="1:12" s="132" customFormat="1" ht="15" customHeight="1" x14ac:dyDescent="0.2">
      <c r="A310" s="110"/>
      <c r="B310" s="112" t="s">
        <v>578</v>
      </c>
      <c r="C310" s="126">
        <v>2</v>
      </c>
      <c r="D310" s="113">
        <f>1.2+1.23+2.16</f>
        <v>4.59</v>
      </c>
      <c r="F310" s="24">
        <v>2</v>
      </c>
      <c r="G310" s="24">
        <f>TRUNC(D310*F310*C310,3)</f>
        <v>18.36</v>
      </c>
      <c r="H310" s="24"/>
      <c r="I310" s="24"/>
      <c r="J310" s="24">
        <f>(0.7*2+0.7*1.94+0.88*0.2)*2</f>
        <v>5.8680000000000003</v>
      </c>
      <c r="K310" s="114">
        <f>TRUNC(G310-J310,2)</f>
        <v>12.49</v>
      </c>
      <c r="L310" s="111"/>
    </row>
    <row r="311" spans="1:12" s="132" customFormat="1" ht="15" customHeight="1" x14ac:dyDescent="0.2">
      <c r="A311" s="110"/>
      <c r="B311" s="115" t="s">
        <v>9</v>
      </c>
      <c r="C311" s="116"/>
      <c r="D311" s="117"/>
      <c r="E311" s="117"/>
      <c r="F311" s="117"/>
      <c r="G311" s="117"/>
      <c r="H311" s="117"/>
      <c r="I311" s="117"/>
      <c r="J311" s="117"/>
      <c r="K311" s="118">
        <f>SUM(K310:K310)</f>
        <v>12.49</v>
      </c>
      <c r="L311" s="119" t="s">
        <v>6</v>
      </c>
    </row>
    <row r="312" spans="1:12" s="132" customFormat="1" ht="15" customHeight="1" x14ac:dyDescent="0.2">
      <c r="A312" s="110"/>
      <c r="B312" s="221"/>
      <c r="C312" s="23"/>
      <c r="D312" s="25"/>
      <c r="E312" s="25"/>
      <c r="F312" s="25"/>
      <c r="G312" s="25"/>
      <c r="H312" s="25"/>
      <c r="I312" s="25"/>
      <c r="J312" s="25"/>
      <c r="K312" s="121"/>
      <c r="L312" s="109"/>
    </row>
    <row r="313" spans="1:12" s="132" customFormat="1" ht="15" customHeight="1" x14ac:dyDescent="0.2">
      <c r="A313" s="110" t="s">
        <v>694</v>
      </c>
      <c r="B313" s="567" t="str">
        <f>'Planilha Orçamentária'!D66</f>
        <v>Prateleiras em granito cinza andorinha, esp. 2cm</v>
      </c>
      <c r="C313" s="568"/>
      <c r="D313" s="568"/>
      <c r="E313" s="568"/>
      <c r="F313" s="568"/>
      <c r="G313" s="568"/>
      <c r="H313" s="568"/>
      <c r="I313" s="568"/>
      <c r="J313" s="568"/>
      <c r="K313" s="569"/>
      <c r="L313" s="109"/>
    </row>
    <row r="314" spans="1:12" s="132" customFormat="1" ht="15" customHeight="1" x14ac:dyDescent="0.2">
      <c r="A314" s="110"/>
      <c r="B314" s="112" t="s">
        <v>593</v>
      </c>
      <c r="C314" s="126"/>
      <c r="D314" s="113"/>
      <c r="F314" s="24"/>
      <c r="G314" s="24">
        <f>4.23*3</f>
        <v>12.690000000000001</v>
      </c>
      <c r="H314" s="24"/>
      <c r="I314" s="24"/>
      <c r="J314" s="24"/>
      <c r="K314" s="114">
        <f>G314</f>
        <v>12.690000000000001</v>
      </c>
      <c r="L314" s="111"/>
    </row>
    <row r="315" spans="1:12" s="132" customFormat="1" ht="15" customHeight="1" x14ac:dyDescent="0.2">
      <c r="A315" s="110"/>
      <c r="B315" s="115" t="s">
        <v>9</v>
      </c>
      <c r="C315" s="230"/>
      <c r="D315" s="230"/>
      <c r="E315" s="230"/>
      <c r="F315" s="230"/>
      <c r="G315" s="230"/>
      <c r="H315" s="230"/>
      <c r="I315" s="230"/>
      <c r="J315" s="230"/>
      <c r="K315" s="231">
        <f>SUM(K314:K314)</f>
        <v>12.690000000000001</v>
      </c>
      <c r="L315" s="222" t="s">
        <v>6</v>
      </c>
    </row>
    <row r="316" spans="1:12" s="132" customFormat="1" ht="15" customHeight="1" x14ac:dyDescent="0.2">
      <c r="A316" s="110"/>
      <c r="B316" s="221"/>
      <c r="C316" s="286"/>
      <c r="D316" s="286"/>
      <c r="E316" s="286"/>
      <c r="F316" s="286"/>
      <c r="G316" s="286"/>
      <c r="H316" s="286"/>
      <c r="I316" s="286"/>
      <c r="J316" s="286"/>
      <c r="K316" s="350"/>
      <c r="L316" s="109"/>
    </row>
    <row r="317" spans="1:12" s="132" customFormat="1" ht="15" customHeight="1" x14ac:dyDescent="0.2">
      <c r="A317" s="110" t="s">
        <v>695</v>
      </c>
      <c r="B317" s="567" t="str">
        <f>'Planilha Orçamentária'!D67</f>
        <v>Mão francesa em aço, com abas iguais, 40 cm de largura e capacidade mínima de 70 kg</v>
      </c>
      <c r="C317" s="568"/>
      <c r="D317" s="568"/>
      <c r="E317" s="568"/>
      <c r="F317" s="568"/>
      <c r="G317" s="568"/>
      <c r="H317" s="568"/>
      <c r="I317" s="568"/>
      <c r="J317" s="568"/>
      <c r="K317" s="569"/>
      <c r="L317" s="109"/>
    </row>
    <row r="318" spans="1:12" s="132" customFormat="1" ht="15" customHeight="1" x14ac:dyDescent="0.2">
      <c r="A318" s="110"/>
      <c r="B318" s="112" t="s">
        <v>818</v>
      </c>
      <c r="C318" s="126">
        <f>8*3</f>
        <v>24</v>
      </c>
      <c r="D318" s="113"/>
      <c r="F318" s="24"/>
      <c r="G318" s="24"/>
      <c r="H318" s="24"/>
      <c r="I318" s="24"/>
      <c r="J318" s="24"/>
      <c r="K318" s="114">
        <f>C318</f>
        <v>24</v>
      </c>
      <c r="L318" s="111"/>
    </row>
    <row r="319" spans="1:12" s="132" customFormat="1" ht="15" customHeight="1" x14ac:dyDescent="0.2">
      <c r="A319" s="110"/>
      <c r="B319" s="115" t="s">
        <v>9</v>
      </c>
      <c r="C319" s="230"/>
      <c r="D319" s="230"/>
      <c r="E319" s="230"/>
      <c r="F319" s="230"/>
      <c r="G319" s="230"/>
      <c r="H319" s="230"/>
      <c r="I319" s="230"/>
      <c r="J319" s="230"/>
      <c r="K319" s="231">
        <f>SUM(K318:K318)</f>
        <v>24</v>
      </c>
      <c r="L319" s="222" t="s">
        <v>4</v>
      </c>
    </row>
    <row r="320" spans="1:12" s="132" customFormat="1" ht="15" customHeight="1" x14ac:dyDescent="0.2">
      <c r="A320" s="110"/>
      <c r="B320" s="221"/>
      <c r="C320" s="286"/>
      <c r="D320" s="286"/>
      <c r="E320" s="286"/>
      <c r="F320" s="286"/>
      <c r="G320" s="286"/>
      <c r="H320" s="286"/>
      <c r="I320" s="286"/>
      <c r="J320" s="286"/>
      <c r="K320" s="350"/>
      <c r="L320" s="109"/>
    </row>
    <row r="321" spans="1:12" s="132" customFormat="1" ht="15" customHeight="1" x14ac:dyDescent="0.2">
      <c r="A321" s="110" t="s">
        <v>816</v>
      </c>
      <c r="B321" s="567" t="s">
        <v>163</v>
      </c>
      <c r="C321" s="568"/>
      <c r="D321" s="568"/>
      <c r="E321" s="568"/>
      <c r="F321" s="568"/>
      <c r="G321" s="568"/>
      <c r="H321" s="568"/>
      <c r="I321" s="568"/>
      <c r="J321" s="568"/>
      <c r="K321" s="569"/>
      <c r="L321" s="109"/>
    </row>
    <row r="322" spans="1:12" s="19" customFormat="1" ht="15" customHeight="1" x14ac:dyDescent="0.2">
      <c r="A322" s="184"/>
      <c r="B322" s="223" t="s">
        <v>188</v>
      </c>
      <c r="C322" s="23">
        <v>5</v>
      </c>
      <c r="D322" s="23">
        <v>2</v>
      </c>
      <c r="E322" s="23"/>
      <c r="F322" s="23">
        <v>2</v>
      </c>
      <c r="G322" s="23">
        <f>PRODUCT(D322,F322)</f>
        <v>4</v>
      </c>
      <c r="H322" s="23"/>
      <c r="I322" s="23"/>
      <c r="J322" s="23"/>
      <c r="K322" s="226">
        <f>TRUNC(G322*C322,2)</f>
        <v>20</v>
      </c>
      <c r="L322" s="111"/>
    </row>
    <row r="323" spans="1:12" s="132" customFormat="1" ht="15" customHeight="1" x14ac:dyDescent="0.2">
      <c r="A323" s="110"/>
      <c r="B323" s="115" t="s">
        <v>9</v>
      </c>
      <c r="C323" s="230"/>
      <c r="D323" s="230"/>
      <c r="E323" s="230"/>
      <c r="F323" s="230"/>
      <c r="G323" s="230"/>
      <c r="H323" s="230"/>
      <c r="I323" s="230"/>
      <c r="J323" s="230"/>
      <c r="K323" s="231">
        <f>K322</f>
        <v>20</v>
      </c>
      <c r="L323" s="222" t="s">
        <v>6</v>
      </c>
    </row>
    <row r="324" spans="1:12" s="132" customFormat="1" ht="15" customHeight="1" x14ac:dyDescent="0.2">
      <c r="A324" s="110"/>
      <c r="B324" s="112"/>
      <c r="C324" s="24"/>
      <c r="D324" s="113"/>
      <c r="E324" s="24"/>
      <c r="F324" s="24"/>
      <c r="G324" s="24"/>
      <c r="H324" s="24"/>
      <c r="I324" s="24"/>
      <c r="J324" s="24"/>
      <c r="K324" s="114"/>
      <c r="L324" s="111"/>
    </row>
    <row r="325" spans="1:12" s="19" customFormat="1" ht="15" customHeight="1" x14ac:dyDescent="0.2">
      <c r="A325" s="128" t="s">
        <v>696</v>
      </c>
      <c r="B325" s="106" t="str">
        <f>'Planilha Orçamentária'!D71</f>
        <v>REVESTIMENTO DE PAREDES</v>
      </c>
      <c r="C325" s="20"/>
      <c r="D325" s="107"/>
      <c r="E325" s="20"/>
      <c r="F325" s="21"/>
      <c r="G325" s="20"/>
      <c r="H325" s="21"/>
      <c r="I325" s="21"/>
      <c r="J325" s="21"/>
      <c r="K325" s="108"/>
      <c r="L325" s="109"/>
    </row>
    <row r="326" spans="1:12" s="19" customFormat="1" ht="15" customHeight="1" x14ac:dyDescent="0.2">
      <c r="A326" s="110" t="s">
        <v>697</v>
      </c>
      <c r="B326" s="570" t="str">
        <f>'Planilha Orçamentária'!D72</f>
        <v>Chapisco aplicado em alvenarias e estruturas de concreto internas, com rolo para textura acrílica, argamassa traço 1:4 e emulsão polimérica (adesivo) com reparo manual</v>
      </c>
      <c r="C326" s="571"/>
      <c r="D326" s="571"/>
      <c r="E326" s="571"/>
      <c r="F326" s="571"/>
      <c r="G326" s="571"/>
      <c r="H326" s="571"/>
      <c r="I326" s="571"/>
      <c r="J326" s="571"/>
      <c r="K326" s="572"/>
      <c r="L326" s="111"/>
    </row>
    <row r="327" spans="1:12" s="19" customFormat="1" ht="15" customHeight="1" x14ac:dyDescent="0.2">
      <c r="A327" s="110"/>
      <c r="B327" s="122" t="s">
        <v>207</v>
      </c>
      <c r="C327" s="40"/>
      <c r="D327" s="40"/>
      <c r="E327" s="144"/>
      <c r="F327" s="40"/>
      <c r="G327" s="40">
        <v>50.85</v>
      </c>
      <c r="H327" s="144"/>
      <c r="I327" s="144"/>
      <c r="J327" s="40">
        <f>(5.15*0.8)+(0.8*2.1)+(2.2*0.8)</f>
        <v>7.5600000000000005</v>
      </c>
      <c r="K327" s="123">
        <f t="shared" ref="K327:K340" si="25">TRUNC(G327-J327,2)</f>
        <v>43.29</v>
      </c>
      <c r="L327" s="111"/>
    </row>
    <row r="328" spans="1:12" s="19" customFormat="1" ht="15" customHeight="1" x14ac:dyDescent="0.2">
      <c r="A328" s="110"/>
      <c r="B328" s="122" t="s">
        <v>208</v>
      </c>
      <c r="C328" s="40"/>
      <c r="D328" s="40"/>
      <c r="E328" s="144"/>
      <c r="F328" s="40"/>
      <c r="G328" s="40">
        <v>47.12</v>
      </c>
      <c r="H328" s="144"/>
      <c r="I328" s="144"/>
      <c r="J328" s="40">
        <f>2*0.8*2</f>
        <v>3.2</v>
      </c>
      <c r="K328" s="123">
        <f t="shared" si="25"/>
        <v>43.92</v>
      </c>
      <c r="L328" s="111"/>
    </row>
    <row r="329" spans="1:12" s="19" customFormat="1" ht="15" customHeight="1" x14ac:dyDescent="0.2">
      <c r="A329" s="110"/>
      <c r="B329" s="122" t="s">
        <v>209</v>
      </c>
      <c r="C329" s="40"/>
      <c r="D329" s="40"/>
      <c r="E329" s="144"/>
      <c r="F329" s="40"/>
      <c r="G329" s="19">
        <v>47.46</v>
      </c>
      <c r="J329" s="24">
        <f>(2*1.2)+(2.2*0.8)</f>
        <v>4.16</v>
      </c>
      <c r="K329" s="123">
        <f t="shared" si="25"/>
        <v>43.3</v>
      </c>
      <c r="L329" s="139"/>
    </row>
    <row r="330" spans="1:12" s="19" customFormat="1" ht="15" customHeight="1" x14ac:dyDescent="0.2">
      <c r="A330" s="110"/>
      <c r="B330" s="112" t="s">
        <v>210</v>
      </c>
      <c r="C330" s="40"/>
      <c r="D330" s="40"/>
      <c r="E330" s="144"/>
      <c r="F330" s="40"/>
      <c r="G330" s="40">
        <v>42.92</v>
      </c>
      <c r="H330" s="144"/>
      <c r="I330" s="144"/>
      <c r="J330" s="24">
        <f>(1.5*1.2)+(2.3*0.8)</f>
        <v>3.6399999999999997</v>
      </c>
      <c r="K330" s="123">
        <f t="shared" si="25"/>
        <v>39.28</v>
      </c>
      <c r="L330" s="111"/>
    </row>
    <row r="331" spans="1:12" s="19" customFormat="1" ht="15" customHeight="1" x14ac:dyDescent="0.2">
      <c r="A331" s="110"/>
      <c r="B331" s="112" t="s">
        <v>571</v>
      </c>
      <c r="C331" s="40"/>
      <c r="D331" s="40"/>
      <c r="E331" s="144"/>
      <c r="F331" s="40"/>
      <c r="G331" s="40">
        <f>2.8+(0.35*4*2*6)+2.16</f>
        <v>21.759999999999998</v>
      </c>
      <c r="H331" s="144"/>
      <c r="I331" s="144"/>
      <c r="J331" s="40">
        <v>0</v>
      </c>
      <c r="K331" s="123">
        <f t="shared" si="25"/>
        <v>21.76</v>
      </c>
      <c r="L331" s="111"/>
    </row>
    <row r="332" spans="1:12" s="19" customFormat="1" ht="15" customHeight="1" x14ac:dyDescent="0.2">
      <c r="A332" s="110"/>
      <c r="B332" s="112" t="s">
        <v>570</v>
      </c>
      <c r="C332" s="40"/>
      <c r="D332" s="40">
        <f>2*6.65+2*2.3</f>
        <v>17.899999999999999</v>
      </c>
      <c r="E332" s="144"/>
      <c r="F332" s="40">
        <v>3</v>
      </c>
      <c r="G332" s="40">
        <f t="shared" ref="G332:G339" si="26">TRUNC(F332*D332,2)</f>
        <v>53.7</v>
      </c>
      <c r="H332" s="144"/>
      <c r="I332" s="144"/>
      <c r="J332" s="40">
        <f>2.3*0.8+5.15*0.8+0.8*2.1</f>
        <v>7.6400000000000006</v>
      </c>
      <c r="K332" s="123">
        <f t="shared" si="25"/>
        <v>46.06</v>
      </c>
      <c r="L332" s="111"/>
    </row>
    <row r="333" spans="1:12" s="19" customFormat="1" ht="15" customHeight="1" x14ac:dyDescent="0.2">
      <c r="A333" s="110"/>
      <c r="B333" s="112" t="s">
        <v>572</v>
      </c>
      <c r="C333" s="40"/>
      <c r="D333" s="40">
        <f>2*3+2*2.3</f>
        <v>10.6</v>
      </c>
      <c r="E333" s="144"/>
      <c r="F333" s="40">
        <v>3</v>
      </c>
      <c r="G333" s="40">
        <f t="shared" si="26"/>
        <v>31.8</v>
      </c>
      <c r="H333" s="144"/>
      <c r="I333" s="144"/>
      <c r="J333" s="40">
        <f>1.5*1.2+0.8*2.1</f>
        <v>3.48</v>
      </c>
      <c r="K333" s="123">
        <f t="shared" si="25"/>
        <v>28.32</v>
      </c>
      <c r="L333" s="111"/>
    </row>
    <row r="334" spans="1:12" s="19" customFormat="1" ht="15" customHeight="1" x14ac:dyDescent="0.2">
      <c r="A334" s="110"/>
      <c r="B334" s="112" t="s">
        <v>573</v>
      </c>
      <c r="C334" s="40"/>
      <c r="D334" s="40">
        <f>4.85+3.5+2.3+1.15+1.35+1.15</f>
        <v>14.299999999999999</v>
      </c>
      <c r="E334" s="144"/>
      <c r="F334" s="40">
        <v>3</v>
      </c>
      <c r="G334" s="40">
        <f t="shared" si="26"/>
        <v>42.9</v>
      </c>
      <c r="H334" s="144"/>
      <c r="I334" s="144"/>
      <c r="J334" s="40">
        <f>0.8*2.1*2+2*1.2</f>
        <v>5.76</v>
      </c>
      <c r="K334" s="123">
        <f t="shared" si="25"/>
        <v>37.14</v>
      </c>
      <c r="L334" s="111"/>
    </row>
    <row r="335" spans="1:12" s="19" customFormat="1" ht="15" customHeight="1" x14ac:dyDescent="0.2">
      <c r="A335" s="110"/>
      <c r="B335" s="112" t="s">
        <v>574</v>
      </c>
      <c r="C335" s="40"/>
      <c r="D335" s="40">
        <f>3.45*2+1.2*2</f>
        <v>9.3000000000000007</v>
      </c>
      <c r="E335" s="144"/>
      <c r="F335" s="40">
        <v>3</v>
      </c>
      <c r="G335" s="40">
        <f t="shared" si="26"/>
        <v>27.9</v>
      </c>
      <c r="H335" s="144"/>
      <c r="I335" s="144"/>
      <c r="J335" s="40">
        <f>0.8*2.1*5</f>
        <v>8.4</v>
      </c>
      <c r="K335" s="123">
        <f t="shared" si="25"/>
        <v>19.5</v>
      </c>
      <c r="L335" s="111"/>
    </row>
    <row r="336" spans="1:12" s="19" customFormat="1" ht="15" customHeight="1" x14ac:dyDescent="0.2">
      <c r="A336" s="110"/>
      <c r="B336" s="112" t="s">
        <v>575</v>
      </c>
      <c r="C336" s="40"/>
      <c r="D336" s="40">
        <f>2.3*2+3.85*2</f>
        <v>12.3</v>
      </c>
      <c r="E336" s="144"/>
      <c r="F336" s="40">
        <v>3</v>
      </c>
      <c r="G336" s="40">
        <f t="shared" si="26"/>
        <v>36.9</v>
      </c>
      <c r="H336" s="144"/>
      <c r="I336" s="144"/>
      <c r="J336" s="40">
        <f>0.8*2.1+2.2*0.8+2*0.8</f>
        <v>5.0400000000000009</v>
      </c>
      <c r="K336" s="123">
        <f t="shared" si="25"/>
        <v>31.86</v>
      </c>
      <c r="L336" s="111"/>
    </row>
    <row r="337" spans="1:12" s="19" customFormat="1" ht="15" customHeight="1" x14ac:dyDescent="0.2">
      <c r="A337" s="110"/>
      <c r="B337" s="112" t="s">
        <v>576</v>
      </c>
      <c r="C337" s="40"/>
      <c r="D337" s="40">
        <f>2.3*2+3.85*2</f>
        <v>12.3</v>
      </c>
      <c r="E337" s="144"/>
      <c r="F337" s="40">
        <v>3</v>
      </c>
      <c r="G337" s="40">
        <f t="shared" si="26"/>
        <v>36.9</v>
      </c>
      <c r="H337" s="144"/>
      <c r="I337" s="144"/>
      <c r="J337" s="40">
        <f>0.8*2.1+2.2*0.8+2*0.8</f>
        <v>5.0400000000000009</v>
      </c>
      <c r="K337" s="123">
        <f t="shared" si="25"/>
        <v>31.86</v>
      </c>
      <c r="L337" s="111"/>
    </row>
    <row r="338" spans="1:12" s="19" customFormat="1" ht="15" customHeight="1" x14ac:dyDescent="0.2">
      <c r="A338" s="110"/>
      <c r="B338" s="112" t="s">
        <v>577</v>
      </c>
      <c r="C338" s="40"/>
      <c r="D338" s="40">
        <f>2+1.5*2+0.34*2+0.9+4</f>
        <v>10.58</v>
      </c>
      <c r="E338" s="144"/>
      <c r="F338" s="40">
        <v>1.1000000000000001</v>
      </c>
      <c r="G338" s="40">
        <f t="shared" si="26"/>
        <v>11.63</v>
      </c>
      <c r="H338" s="144"/>
      <c r="I338" s="144"/>
      <c r="J338" s="40">
        <v>0</v>
      </c>
      <c r="K338" s="123">
        <f t="shared" si="25"/>
        <v>11.63</v>
      </c>
      <c r="L338" s="111"/>
    </row>
    <row r="339" spans="1:12" s="19" customFormat="1" ht="15" customHeight="1" x14ac:dyDescent="0.2">
      <c r="A339" s="110"/>
      <c r="B339" s="112" t="s">
        <v>552</v>
      </c>
      <c r="C339" s="40"/>
      <c r="D339" s="40">
        <f>4.63*2+0.44*2+0.74</f>
        <v>10.88</v>
      </c>
      <c r="E339" s="144"/>
      <c r="F339" s="340">
        <v>1.075</v>
      </c>
      <c r="G339" s="40">
        <f t="shared" si="26"/>
        <v>11.69</v>
      </c>
      <c r="H339" s="144"/>
      <c r="I339" s="144"/>
      <c r="J339" s="40">
        <v>0</v>
      </c>
      <c r="K339" s="123">
        <f t="shared" si="25"/>
        <v>11.69</v>
      </c>
      <c r="L339" s="111"/>
    </row>
    <row r="340" spans="1:12" s="19" customFormat="1" ht="15" customHeight="1" x14ac:dyDescent="0.2">
      <c r="A340" s="110"/>
      <c r="B340" s="112" t="s">
        <v>360</v>
      </c>
      <c r="C340" s="40"/>
      <c r="D340" s="40"/>
      <c r="E340" s="144"/>
      <c r="F340" s="40"/>
      <c r="G340" s="40">
        <f>0.56*2+0.2*1*5+0.28*1*4</f>
        <v>3.24</v>
      </c>
      <c r="H340" s="144"/>
      <c r="I340" s="144"/>
      <c r="J340" s="40">
        <v>0</v>
      </c>
      <c r="K340" s="123">
        <f t="shared" si="25"/>
        <v>3.24</v>
      </c>
      <c r="L340" s="111"/>
    </row>
    <row r="341" spans="1:12" s="19" customFormat="1" ht="15" customHeight="1" x14ac:dyDescent="0.2">
      <c r="A341" s="110"/>
      <c r="B341" s="112" t="s">
        <v>824</v>
      </c>
      <c r="C341" s="40"/>
      <c r="D341" s="40"/>
      <c r="E341" s="144"/>
      <c r="F341" s="40"/>
      <c r="G341" s="40">
        <v>8.85</v>
      </c>
      <c r="H341" s="144"/>
      <c r="I341" s="144"/>
      <c r="J341" s="40">
        <v>0</v>
      </c>
      <c r="K341" s="123">
        <f>G341</f>
        <v>8.85</v>
      </c>
      <c r="L341" s="111"/>
    </row>
    <row r="342" spans="1:12" s="19" customFormat="1" ht="15" customHeight="1" x14ac:dyDescent="0.2">
      <c r="A342" s="110"/>
      <c r="B342" s="112" t="s">
        <v>825</v>
      </c>
      <c r="C342" s="40"/>
      <c r="D342" s="40"/>
      <c r="E342" s="144"/>
      <c r="F342" s="40"/>
      <c r="G342" s="40">
        <v>8.85</v>
      </c>
      <c r="H342" s="144"/>
      <c r="I342" s="144"/>
      <c r="J342" s="40">
        <v>0</v>
      </c>
      <c r="K342" s="123">
        <f>G342</f>
        <v>8.85</v>
      </c>
      <c r="L342" s="111"/>
    </row>
    <row r="343" spans="1:12" s="133" customFormat="1" ht="15" customHeight="1" x14ac:dyDescent="0.2">
      <c r="A343" s="110"/>
      <c r="B343" s="115" t="s">
        <v>9</v>
      </c>
      <c r="C343" s="116"/>
      <c r="D343" s="117"/>
      <c r="E343" s="117"/>
      <c r="F343" s="117"/>
      <c r="G343" s="117"/>
      <c r="H343" s="117"/>
      <c r="I343" s="117"/>
      <c r="J343" s="117"/>
      <c r="K343" s="146">
        <f>SUM(K327:K342)</f>
        <v>430.55000000000007</v>
      </c>
      <c r="L343" s="119" t="s">
        <v>6</v>
      </c>
    </row>
    <row r="344" spans="1:12" s="133" customFormat="1" ht="15" customHeight="1" x14ac:dyDescent="0.2">
      <c r="A344" s="110"/>
      <c r="B344" s="120"/>
      <c r="C344" s="23"/>
      <c r="D344" s="25"/>
      <c r="E344" s="25"/>
      <c r="F344" s="25"/>
      <c r="G344" s="25"/>
      <c r="H344" s="25"/>
      <c r="I344" s="25"/>
      <c r="J344" s="25"/>
      <c r="K344" s="121"/>
      <c r="L344" s="109"/>
    </row>
    <row r="345" spans="1:12" s="133" customFormat="1" ht="15" customHeight="1" x14ac:dyDescent="0.2">
      <c r="A345" s="110" t="s">
        <v>698</v>
      </c>
      <c r="B345" s="570" t="str">
        <f>'Planilha Orçamentária'!D73</f>
        <v>Reboco tipo paulista com argamassa de cimento, cal hidratada CH1 e areia no traço 1:0,5:6, espessura 25mm</v>
      </c>
      <c r="C345" s="571"/>
      <c r="D345" s="571"/>
      <c r="E345" s="571"/>
      <c r="F345" s="571"/>
      <c r="G345" s="571"/>
      <c r="H345" s="571"/>
      <c r="I345" s="571"/>
      <c r="J345" s="571"/>
      <c r="K345" s="572"/>
      <c r="L345" s="111"/>
    </row>
    <row r="346" spans="1:12" s="133" customFormat="1" ht="15" customHeight="1" x14ac:dyDescent="0.2">
      <c r="A346" s="110"/>
      <c r="B346" s="122" t="s">
        <v>207</v>
      </c>
      <c r="C346" s="40"/>
      <c r="D346" s="40"/>
      <c r="E346" s="144"/>
      <c r="F346" s="40"/>
      <c r="G346" s="40">
        <v>50.85</v>
      </c>
      <c r="H346" s="144"/>
      <c r="I346" s="144"/>
      <c r="J346" s="40">
        <f>(5.15*0.8)+(0.8*2.1)+(2.2*0.8)</f>
        <v>7.5600000000000005</v>
      </c>
      <c r="K346" s="123">
        <f t="shared" ref="K346:K359" si="27">TRUNC(G346-J346,2)</f>
        <v>43.29</v>
      </c>
      <c r="L346" s="111"/>
    </row>
    <row r="347" spans="1:12" s="133" customFormat="1" ht="15" customHeight="1" x14ac:dyDescent="0.2">
      <c r="A347" s="110"/>
      <c r="B347" s="122" t="s">
        <v>208</v>
      </c>
      <c r="C347" s="40"/>
      <c r="D347" s="40"/>
      <c r="E347" s="144"/>
      <c r="F347" s="40"/>
      <c r="G347" s="40">
        <v>47.12</v>
      </c>
      <c r="H347" s="144"/>
      <c r="I347" s="144"/>
      <c r="J347" s="40">
        <f>2*0.8*2</f>
        <v>3.2</v>
      </c>
      <c r="K347" s="123">
        <f t="shared" si="27"/>
        <v>43.92</v>
      </c>
      <c r="L347" s="111"/>
    </row>
    <row r="348" spans="1:12" s="133" customFormat="1" ht="15" customHeight="1" x14ac:dyDescent="0.2">
      <c r="A348" s="110"/>
      <c r="B348" s="122" t="s">
        <v>209</v>
      </c>
      <c r="C348" s="40"/>
      <c r="D348" s="40"/>
      <c r="E348" s="144"/>
      <c r="F348" s="40"/>
      <c r="G348" s="19">
        <v>47.46</v>
      </c>
      <c r="H348" s="19"/>
      <c r="I348" s="19"/>
      <c r="J348" s="24">
        <f>(2*1.2)+(2.2*0.8)</f>
        <v>4.16</v>
      </c>
      <c r="K348" s="123">
        <f t="shared" si="27"/>
        <v>43.3</v>
      </c>
      <c r="L348" s="111"/>
    </row>
    <row r="349" spans="1:12" s="133" customFormat="1" ht="15" customHeight="1" x14ac:dyDescent="0.2">
      <c r="A349" s="110"/>
      <c r="B349" s="112" t="s">
        <v>210</v>
      </c>
      <c r="C349" s="40"/>
      <c r="D349" s="40"/>
      <c r="E349" s="144"/>
      <c r="F349" s="40"/>
      <c r="G349" s="40">
        <v>42.92</v>
      </c>
      <c r="H349" s="144"/>
      <c r="I349" s="144"/>
      <c r="J349" s="24">
        <f>(1.5*1.2)+(2.3*0.8)</f>
        <v>3.6399999999999997</v>
      </c>
      <c r="K349" s="123">
        <f t="shared" si="27"/>
        <v>39.28</v>
      </c>
      <c r="L349" s="111"/>
    </row>
    <row r="350" spans="1:12" s="133" customFormat="1" ht="15" customHeight="1" x14ac:dyDescent="0.2">
      <c r="A350" s="110"/>
      <c r="B350" s="112" t="s">
        <v>571</v>
      </c>
      <c r="C350" s="40"/>
      <c r="D350" s="40"/>
      <c r="E350" s="144"/>
      <c r="F350" s="40"/>
      <c r="G350" s="40">
        <f>2.8+(0.35*4*2*6)+2.16</f>
        <v>21.759999999999998</v>
      </c>
      <c r="H350" s="144"/>
      <c r="I350" s="144"/>
      <c r="J350" s="40">
        <v>0</v>
      </c>
      <c r="K350" s="123">
        <f t="shared" si="27"/>
        <v>21.76</v>
      </c>
      <c r="L350" s="111"/>
    </row>
    <row r="351" spans="1:12" s="133" customFormat="1" ht="15" customHeight="1" x14ac:dyDescent="0.2">
      <c r="A351" s="110"/>
      <c r="B351" s="112" t="s">
        <v>570</v>
      </c>
      <c r="C351" s="40"/>
      <c r="D351" s="40">
        <f>2*6.65+2*2.3</f>
        <v>17.899999999999999</v>
      </c>
      <c r="E351" s="144"/>
      <c r="F351" s="40">
        <v>3</v>
      </c>
      <c r="G351" s="40">
        <f t="shared" ref="G351:G358" si="28">TRUNC(F351*D351,2)</f>
        <v>53.7</v>
      </c>
      <c r="H351" s="144"/>
      <c r="I351" s="144"/>
      <c r="J351" s="40">
        <f>2.3*0.8+5.15*0.8+0.8*2.1</f>
        <v>7.6400000000000006</v>
      </c>
      <c r="K351" s="123">
        <f t="shared" si="27"/>
        <v>46.06</v>
      </c>
      <c r="L351" s="111"/>
    </row>
    <row r="352" spans="1:12" s="133" customFormat="1" ht="15" customHeight="1" x14ac:dyDescent="0.2">
      <c r="A352" s="110"/>
      <c r="B352" s="112" t="s">
        <v>572</v>
      </c>
      <c r="C352" s="40"/>
      <c r="D352" s="40">
        <f>2*3+2*2.3</f>
        <v>10.6</v>
      </c>
      <c r="E352" s="144"/>
      <c r="F352" s="40">
        <v>3</v>
      </c>
      <c r="G352" s="40">
        <f t="shared" si="28"/>
        <v>31.8</v>
      </c>
      <c r="H352" s="144"/>
      <c r="I352" s="144"/>
      <c r="J352" s="40">
        <f>1.5*1.2+0.8*2.1</f>
        <v>3.48</v>
      </c>
      <c r="K352" s="123">
        <f t="shared" si="27"/>
        <v>28.32</v>
      </c>
      <c r="L352" s="111"/>
    </row>
    <row r="353" spans="1:12" s="133" customFormat="1" ht="15" customHeight="1" x14ac:dyDescent="0.2">
      <c r="A353" s="110"/>
      <c r="B353" s="112" t="s">
        <v>573</v>
      </c>
      <c r="C353" s="40"/>
      <c r="D353" s="40">
        <f>4.85+3.5+2.3+1.15+1.35+1.15</f>
        <v>14.299999999999999</v>
      </c>
      <c r="E353" s="144"/>
      <c r="F353" s="40">
        <v>3</v>
      </c>
      <c r="G353" s="40">
        <f t="shared" si="28"/>
        <v>42.9</v>
      </c>
      <c r="H353" s="144"/>
      <c r="I353" s="144"/>
      <c r="J353" s="40">
        <f>0.8*2.1*2+2*1.2</f>
        <v>5.76</v>
      </c>
      <c r="K353" s="123">
        <f t="shared" si="27"/>
        <v>37.14</v>
      </c>
      <c r="L353" s="111"/>
    </row>
    <row r="354" spans="1:12" s="133" customFormat="1" ht="15" customHeight="1" x14ac:dyDescent="0.2">
      <c r="A354" s="110"/>
      <c r="B354" s="112" t="s">
        <v>574</v>
      </c>
      <c r="C354" s="40"/>
      <c r="D354" s="40">
        <f>3.45*2+1.2*2</f>
        <v>9.3000000000000007</v>
      </c>
      <c r="E354" s="144"/>
      <c r="F354" s="40">
        <v>3</v>
      </c>
      <c r="G354" s="40">
        <f t="shared" si="28"/>
        <v>27.9</v>
      </c>
      <c r="H354" s="144"/>
      <c r="I354" s="144"/>
      <c r="J354" s="40">
        <f>0.8*2.1*5</f>
        <v>8.4</v>
      </c>
      <c r="K354" s="123">
        <f t="shared" si="27"/>
        <v>19.5</v>
      </c>
      <c r="L354" s="111"/>
    </row>
    <row r="355" spans="1:12" s="133" customFormat="1" ht="15" customHeight="1" x14ac:dyDescent="0.2">
      <c r="A355" s="110"/>
      <c r="B355" s="112" t="s">
        <v>575</v>
      </c>
      <c r="C355" s="40"/>
      <c r="D355" s="40">
        <f>2.3*2+3.85*2</f>
        <v>12.3</v>
      </c>
      <c r="E355" s="144"/>
      <c r="F355" s="40">
        <v>3</v>
      </c>
      <c r="G355" s="40">
        <f t="shared" si="28"/>
        <v>36.9</v>
      </c>
      <c r="H355" s="144"/>
      <c r="I355" s="144"/>
      <c r="J355" s="40">
        <f>0.8*2.1+2.2*0.8+2*0.8</f>
        <v>5.0400000000000009</v>
      </c>
      <c r="K355" s="123">
        <f t="shared" si="27"/>
        <v>31.86</v>
      </c>
      <c r="L355" s="111"/>
    </row>
    <row r="356" spans="1:12" s="133" customFormat="1" ht="15" customHeight="1" x14ac:dyDescent="0.2">
      <c r="A356" s="110"/>
      <c r="B356" s="112" t="s">
        <v>576</v>
      </c>
      <c r="C356" s="40"/>
      <c r="D356" s="40">
        <f>2.3*2+3.85*2</f>
        <v>12.3</v>
      </c>
      <c r="E356" s="144"/>
      <c r="F356" s="40">
        <v>3</v>
      </c>
      <c r="G356" s="40">
        <f t="shared" si="28"/>
        <v>36.9</v>
      </c>
      <c r="H356" s="144"/>
      <c r="I356" s="144"/>
      <c r="J356" s="40">
        <f>0.8*2.1+2.2*0.8+2*0.8</f>
        <v>5.0400000000000009</v>
      </c>
      <c r="K356" s="123">
        <f t="shared" si="27"/>
        <v>31.86</v>
      </c>
      <c r="L356" s="111"/>
    </row>
    <row r="357" spans="1:12" s="133" customFormat="1" ht="15" customHeight="1" x14ac:dyDescent="0.2">
      <c r="A357" s="110"/>
      <c r="B357" s="112" t="s">
        <v>577</v>
      </c>
      <c r="C357" s="40"/>
      <c r="D357" s="40">
        <f>2+1.5*2+0.34*2+0.9+4</f>
        <v>10.58</v>
      </c>
      <c r="E357" s="144"/>
      <c r="F357" s="40">
        <v>1.1000000000000001</v>
      </c>
      <c r="G357" s="40">
        <f t="shared" si="28"/>
        <v>11.63</v>
      </c>
      <c r="H357" s="144"/>
      <c r="I357" s="144"/>
      <c r="J357" s="40">
        <v>0</v>
      </c>
      <c r="K357" s="123">
        <f t="shared" si="27"/>
        <v>11.63</v>
      </c>
      <c r="L357" s="111"/>
    </row>
    <row r="358" spans="1:12" s="133" customFormat="1" ht="15" customHeight="1" x14ac:dyDescent="0.2">
      <c r="A358" s="110"/>
      <c r="B358" s="112" t="s">
        <v>552</v>
      </c>
      <c r="C358" s="40"/>
      <c r="D358" s="40">
        <f>4.63*2+0.44*2+0.74</f>
        <v>10.88</v>
      </c>
      <c r="E358" s="144"/>
      <c r="F358" s="340">
        <v>1.075</v>
      </c>
      <c r="G358" s="40">
        <f t="shared" si="28"/>
        <v>11.69</v>
      </c>
      <c r="H358" s="144"/>
      <c r="I358" s="144"/>
      <c r="J358" s="40">
        <v>0</v>
      </c>
      <c r="K358" s="123">
        <f t="shared" si="27"/>
        <v>11.69</v>
      </c>
      <c r="L358" s="111"/>
    </row>
    <row r="359" spans="1:12" s="133" customFormat="1" ht="15" customHeight="1" x14ac:dyDescent="0.2">
      <c r="A359" s="110"/>
      <c r="B359" s="112" t="s">
        <v>360</v>
      </c>
      <c r="C359" s="40"/>
      <c r="D359" s="40"/>
      <c r="E359" s="144"/>
      <c r="F359" s="40"/>
      <c r="G359" s="40">
        <f>0.56*2+0.2*1*5+0.28*1*4</f>
        <v>3.24</v>
      </c>
      <c r="H359" s="144"/>
      <c r="I359" s="144"/>
      <c r="J359" s="40">
        <v>0</v>
      </c>
      <c r="K359" s="123">
        <f t="shared" si="27"/>
        <v>3.24</v>
      </c>
      <c r="L359" s="111"/>
    </row>
    <row r="360" spans="1:12" s="133" customFormat="1" ht="15" customHeight="1" x14ac:dyDescent="0.2">
      <c r="A360" s="110"/>
      <c r="B360" s="112" t="s">
        <v>824</v>
      </c>
      <c r="C360" s="40"/>
      <c r="D360" s="40"/>
      <c r="E360" s="144"/>
      <c r="F360" s="40"/>
      <c r="G360" s="40">
        <v>8.85</v>
      </c>
      <c r="H360" s="144"/>
      <c r="I360" s="144"/>
      <c r="J360" s="40">
        <v>0</v>
      </c>
      <c r="K360" s="123">
        <f>G360</f>
        <v>8.85</v>
      </c>
      <c r="L360" s="111"/>
    </row>
    <row r="361" spans="1:12" s="133" customFormat="1" ht="15" customHeight="1" x14ac:dyDescent="0.2">
      <c r="A361" s="110"/>
      <c r="B361" s="112" t="s">
        <v>825</v>
      </c>
      <c r="C361" s="40"/>
      <c r="D361" s="40"/>
      <c r="E361" s="144"/>
      <c r="F361" s="40"/>
      <c r="G361" s="40">
        <v>8.85</v>
      </c>
      <c r="H361" s="144"/>
      <c r="I361" s="144"/>
      <c r="J361" s="40">
        <v>0</v>
      </c>
      <c r="K361" s="123">
        <f>G361</f>
        <v>8.85</v>
      </c>
      <c r="L361" s="111"/>
    </row>
    <row r="362" spans="1:12" s="133" customFormat="1" ht="15" customHeight="1" x14ac:dyDescent="0.2">
      <c r="A362" s="110"/>
      <c r="B362" s="115" t="s">
        <v>9</v>
      </c>
      <c r="C362" s="116"/>
      <c r="D362" s="117"/>
      <c r="E362" s="117"/>
      <c r="F362" s="117"/>
      <c r="G362" s="117"/>
      <c r="H362" s="117"/>
      <c r="I362" s="117"/>
      <c r="J362" s="117"/>
      <c r="K362" s="118">
        <f>SUM(K346:K361)</f>
        <v>430.55000000000007</v>
      </c>
      <c r="L362" s="119" t="s">
        <v>6</v>
      </c>
    </row>
    <row r="363" spans="1:12" s="133" customFormat="1" ht="15" customHeight="1" x14ac:dyDescent="0.2">
      <c r="A363" s="110"/>
      <c r="B363" s="120"/>
      <c r="C363" s="24"/>
      <c r="D363" s="130"/>
      <c r="E363" s="24"/>
      <c r="F363" s="26"/>
      <c r="G363" s="24"/>
      <c r="H363" s="26"/>
      <c r="I363" s="26"/>
      <c r="J363" s="26"/>
      <c r="K363" s="121"/>
      <c r="L363" s="109"/>
    </row>
    <row r="364" spans="1:12" s="133" customFormat="1" ht="15" customHeight="1" x14ac:dyDescent="0.2">
      <c r="A364" s="110" t="s">
        <v>699</v>
      </c>
      <c r="B364" s="567" t="str">
        <f>'Planilha Orçamentária'!D74</f>
        <v>Emassamento de paredes e forros, com duas demãos de massa acrílica, marcas de referência Suvinil, Coral ou Metalatex</v>
      </c>
      <c r="C364" s="568"/>
      <c r="D364" s="568"/>
      <c r="E364" s="568"/>
      <c r="F364" s="568"/>
      <c r="G364" s="568"/>
      <c r="H364" s="568"/>
      <c r="I364" s="568"/>
      <c r="J364" s="568"/>
      <c r="K364" s="569"/>
      <c r="L364" s="111"/>
    </row>
    <row r="365" spans="1:12" s="133" customFormat="1" ht="15" customHeight="1" x14ac:dyDescent="0.2">
      <c r="A365" s="110"/>
      <c r="B365" s="112" t="s">
        <v>570</v>
      </c>
      <c r="C365" s="40"/>
      <c r="D365" s="40">
        <f>2*6.65+2*2.3</f>
        <v>17.899999999999999</v>
      </c>
      <c r="E365" s="144"/>
      <c r="F365" s="40">
        <v>3</v>
      </c>
      <c r="G365" s="40">
        <f>TRUNC(F365*D365,2)</f>
        <v>53.7</v>
      </c>
      <c r="H365" s="144"/>
      <c r="I365" s="144"/>
      <c r="J365" s="40">
        <f>2.3*0.8+5.15*0.8+0.8*2.1</f>
        <v>7.6400000000000006</v>
      </c>
      <c r="K365" s="123">
        <f>TRUNC(G365-J365,2)</f>
        <v>46.06</v>
      </c>
      <c r="L365" s="111"/>
    </row>
    <row r="366" spans="1:12" s="133" customFormat="1" ht="15" customHeight="1" x14ac:dyDescent="0.2">
      <c r="A366" s="110"/>
      <c r="B366" s="112" t="s">
        <v>572</v>
      </c>
      <c r="C366" s="40"/>
      <c r="D366" s="40">
        <f>2*3+2*2.3</f>
        <v>10.6</v>
      </c>
      <c r="E366" s="144"/>
      <c r="F366" s="40">
        <v>3</v>
      </c>
      <c r="G366" s="40">
        <f>TRUNC(F366*D366,2)</f>
        <v>31.8</v>
      </c>
      <c r="H366" s="144"/>
      <c r="I366" s="144"/>
      <c r="J366" s="40">
        <f>1.5*1.2+0.8*2.1</f>
        <v>3.48</v>
      </c>
      <c r="K366" s="123">
        <f>TRUNC(G366-J366,2)</f>
        <v>28.32</v>
      </c>
      <c r="L366" s="111"/>
    </row>
    <row r="367" spans="1:12" s="133" customFormat="1" ht="15" customHeight="1" x14ac:dyDescent="0.2">
      <c r="A367" s="110"/>
      <c r="B367" s="112" t="s">
        <v>574</v>
      </c>
      <c r="C367" s="40"/>
      <c r="D367" s="40">
        <f>3.45*2+1.2*2</f>
        <v>9.3000000000000007</v>
      </c>
      <c r="E367" s="144"/>
      <c r="F367" s="40">
        <v>3</v>
      </c>
      <c r="G367" s="40">
        <f>TRUNC(F367*D367,2)</f>
        <v>27.9</v>
      </c>
      <c r="H367" s="144"/>
      <c r="I367" s="144"/>
      <c r="J367" s="40">
        <f>0.8*2.1*5</f>
        <v>8.4</v>
      </c>
      <c r="K367" s="123">
        <f>TRUNC(G367-J367,2)</f>
        <v>19.5</v>
      </c>
      <c r="L367" s="111"/>
    </row>
    <row r="368" spans="1:12" s="133" customFormat="1" ht="15" customHeight="1" x14ac:dyDescent="0.2">
      <c r="A368" s="110"/>
      <c r="B368" s="115" t="s">
        <v>9</v>
      </c>
      <c r="C368" s="116"/>
      <c r="D368" s="117"/>
      <c r="E368" s="117"/>
      <c r="F368" s="117"/>
      <c r="G368" s="117"/>
      <c r="H368" s="117"/>
      <c r="I368" s="117"/>
      <c r="J368" s="117"/>
      <c r="K368" s="118">
        <f>SUM(K365:K367)</f>
        <v>93.88</v>
      </c>
      <c r="L368" s="119" t="s">
        <v>6</v>
      </c>
    </row>
    <row r="369" spans="1:12" s="133" customFormat="1" ht="15" customHeight="1" x14ac:dyDescent="0.2">
      <c r="A369" s="110"/>
      <c r="B369" s="221"/>
      <c r="C369" s="23"/>
      <c r="D369" s="25"/>
      <c r="E369" s="25"/>
      <c r="F369" s="25"/>
      <c r="G369" s="25"/>
      <c r="H369" s="25"/>
      <c r="I369" s="25"/>
      <c r="J369" s="25"/>
      <c r="K369" s="121"/>
      <c r="L369" s="109"/>
    </row>
    <row r="370" spans="1:12" s="133" customFormat="1" ht="15" customHeight="1" x14ac:dyDescent="0.2">
      <c r="A370" s="110" t="s">
        <v>700</v>
      </c>
      <c r="B370" s="567" t="str">
        <f>'Planilha Orçamentária'!D75</f>
        <v>Revestimento cerâmico para paredes internas com placas tipo esmaltada extra de dimensões 33x45 cm aplicadas em ambientes de área maior que 5m² na altura inteira das paredes</v>
      </c>
      <c r="C370" s="568"/>
      <c r="D370" s="568"/>
      <c r="E370" s="568"/>
      <c r="F370" s="568"/>
      <c r="G370" s="568"/>
      <c r="H370" s="568"/>
      <c r="I370" s="568"/>
      <c r="J370" s="568"/>
      <c r="K370" s="569"/>
      <c r="L370" s="109"/>
    </row>
    <row r="371" spans="1:12" s="133" customFormat="1" ht="15" customHeight="1" x14ac:dyDescent="0.2">
      <c r="A371" s="110"/>
      <c r="B371" s="122" t="s">
        <v>91</v>
      </c>
      <c r="C371" s="40"/>
      <c r="D371" s="40">
        <f>4.85+3.5+2.3+1.15+1.35+1.15</f>
        <v>14.299999999999999</v>
      </c>
      <c r="E371" s="144"/>
      <c r="F371" s="40">
        <v>3</v>
      </c>
      <c r="G371" s="40">
        <f>TRUNC(F371*D371,2)</f>
        <v>42.9</v>
      </c>
      <c r="H371" s="144"/>
      <c r="I371" s="144"/>
      <c r="J371" s="40">
        <f>0.8*2.1*2+2*1.2</f>
        <v>5.76</v>
      </c>
      <c r="K371" s="123">
        <f>TRUNC(G371-J371,2)</f>
        <v>37.14</v>
      </c>
      <c r="L371" s="109"/>
    </row>
    <row r="372" spans="1:12" s="133" customFormat="1" ht="15" customHeight="1" x14ac:dyDescent="0.2">
      <c r="A372" s="110"/>
      <c r="B372" s="112" t="s">
        <v>185</v>
      </c>
      <c r="C372" s="341"/>
      <c r="D372" s="40">
        <f>2.3*2+3.85*2</f>
        <v>12.3</v>
      </c>
      <c r="E372" s="144"/>
      <c r="F372" s="40">
        <v>3</v>
      </c>
      <c r="G372" s="40">
        <f>TRUNC(F372*D372,2)</f>
        <v>36.9</v>
      </c>
      <c r="H372" s="144"/>
      <c r="I372" s="144"/>
      <c r="J372" s="40">
        <f>0.8*2.1+2.2*0.8+2*0.8</f>
        <v>5.0400000000000009</v>
      </c>
      <c r="K372" s="123">
        <f>TRUNC(G372-J372,2)</f>
        <v>31.86</v>
      </c>
      <c r="L372" s="109"/>
    </row>
    <row r="373" spans="1:12" s="133" customFormat="1" ht="15" customHeight="1" x14ac:dyDescent="0.2">
      <c r="A373" s="110"/>
      <c r="B373" s="112" t="s">
        <v>186</v>
      </c>
      <c r="C373" s="341"/>
      <c r="D373" s="40">
        <f>2.3*2+3.85*2</f>
        <v>12.3</v>
      </c>
      <c r="E373" s="144"/>
      <c r="F373" s="40">
        <v>3</v>
      </c>
      <c r="G373" s="40">
        <f>TRUNC(F373*D373,2)</f>
        <v>36.9</v>
      </c>
      <c r="H373" s="144"/>
      <c r="I373" s="144"/>
      <c r="J373" s="40">
        <f>0.8*2.1+2.2*0.8+2*0.8</f>
        <v>5.0400000000000009</v>
      </c>
      <c r="K373" s="123">
        <f>TRUNC(G373-J373,2)</f>
        <v>31.86</v>
      </c>
      <c r="L373" s="109"/>
    </row>
    <row r="374" spans="1:12" s="133" customFormat="1" ht="15" customHeight="1" x14ac:dyDescent="0.2">
      <c r="A374" s="110"/>
      <c r="B374" s="112" t="s">
        <v>211</v>
      </c>
      <c r="C374" s="341"/>
      <c r="D374" s="341">
        <v>1.8</v>
      </c>
      <c r="E374" s="341"/>
      <c r="F374" s="341">
        <v>1.5</v>
      </c>
      <c r="G374" s="341">
        <f>TRUNC(F374*D374,2)</f>
        <v>2.7</v>
      </c>
      <c r="H374" s="341"/>
      <c r="I374" s="341"/>
      <c r="J374" s="341">
        <v>0</v>
      </c>
      <c r="K374" s="123">
        <f>G374</f>
        <v>2.7</v>
      </c>
      <c r="L374" s="109"/>
    </row>
    <row r="375" spans="1:12" s="133" customFormat="1" ht="15" customHeight="1" x14ac:dyDescent="0.2">
      <c r="A375" s="110"/>
      <c r="B375" s="115" t="s">
        <v>9</v>
      </c>
      <c r="C375" s="116"/>
      <c r="D375" s="117"/>
      <c r="E375" s="117"/>
      <c r="F375" s="117"/>
      <c r="G375" s="117"/>
      <c r="H375" s="117"/>
      <c r="I375" s="117"/>
      <c r="J375" s="117"/>
      <c r="K375" s="118">
        <f>SUM(K371:K374)</f>
        <v>103.56</v>
      </c>
      <c r="L375" s="222" t="s">
        <v>6</v>
      </c>
    </row>
    <row r="376" spans="1:12" s="133" customFormat="1" ht="15" customHeight="1" x14ac:dyDescent="0.2">
      <c r="A376" s="110"/>
      <c r="B376" s="120"/>
      <c r="C376" s="24"/>
      <c r="D376" s="130"/>
      <c r="E376" s="24"/>
      <c r="F376" s="26"/>
      <c r="G376" s="24"/>
      <c r="H376" s="26"/>
      <c r="I376" s="26"/>
      <c r="J376" s="26"/>
      <c r="K376" s="121"/>
      <c r="L376" s="109"/>
    </row>
    <row r="377" spans="1:12" s="133" customFormat="1" ht="15" customHeight="1" x14ac:dyDescent="0.2">
      <c r="A377" s="128" t="s">
        <v>701</v>
      </c>
      <c r="B377" s="106" t="str">
        <f>'Planilha Orçamentária'!D78</f>
        <v>REVESTIMENTO DE PISOS</v>
      </c>
      <c r="C377" s="20"/>
      <c r="D377" s="107"/>
      <c r="E377" s="20"/>
      <c r="F377" s="21"/>
      <c r="G377" s="20"/>
      <c r="H377" s="21"/>
      <c r="I377" s="21"/>
      <c r="J377" s="21"/>
      <c r="K377" s="108"/>
      <c r="L377" s="109"/>
    </row>
    <row r="378" spans="1:12" s="133" customFormat="1" ht="15" customHeight="1" x14ac:dyDescent="0.2">
      <c r="A378" s="376" t="s">
        <v>702</v>
      </c>
      <c r="B378" s="567" t="str">
        <f>'Planilha Orçamentária'!D79</f>
        <v>Piso cimentado, traço 1:3 (cimento e areia), acabamento liso, espessura 2cm, preparo mecânico da argamassa, inclusive junta de dilatação.</v>
      </c>
      <c r="C378" s="568"/>
      <c r="D378" s="568"/>
      <c r="E378" s="568"/>
      <c r="F378" s="568"/>
      <c r="G378" s="568"/>
      <c r="H378" s="568"/>
      <c r="I378" s="568"/>
      <c r="J378" s="568"/>
      <c r="K378" s="569"/>
      <c r="L378" s="109"/>
    </row>
    <row r="379" spans="1:12" s="133" customFormat="1" ht="15" customHeight="1" x14ac:dyDescent="0.2">
      <c r="A379" s="128"/>
      <c r="B379" s="112" t="s">
        <v>188</v>
      </c>
      <c r="C379" s="20"/>
      <c r="D379" s="353"/>
      <c r="E379" s="20"/>
      <c r="F379" s="20"/>
      <c r="G379" s="24">
        <v>121.21</v>
      </c>
      <c r="H379" s="20"/>
      <c r="I379" s="20"/>
      <c r="J379" s="20"/>
      <c r="K379" s="114">
        <f>G379</f>
        <v>121.21</v>
      </c>
      <c r="L379" s="109"/>
    </row>
    <row r="380" spans="1:12" s="133" customFormat="1" ht="15" customHeight="1" x14ac:dyDescent="0.2">
      <c r="A380" s="128"/>
      <c r="B380" s="122" t="s">
        <v>187</v>
      </c>
      <c r="C380" s="136"/>
      <c r="D380" s="136"/>
      <c r="E380" s="136"/>
      <c r="F380" s="136"/>
      <c r="G380" s="330">
        <v>15.29</v>
      </c>
      <c r="H380" s="354"/>
      <c r="I380" s="354"/>
      <c r="J380" s="354"/>
      <c r="K380" s="114">
        <f t="shared" ref="K380:K382" si="29">G380</f>
        <v>15.29</v>
      </c>
      <c r="L380" s="109"/>
    </row>
    <row r="381" spans="1:12" s="133" customFormat="1" ht="15" customHeight="1" x14ac:dyDescent="0.2">
      <c r="A381" s="128"/>
      <c r="B381" s="122" t="s">
        <v>93</v>
      </c>
      <c r="C381" s="136"/>
      <c r="D381" s="136"/>
      <c r="E381" s="136"/>
      <c r="F381" s="136"/>
      <c r="G381" s="330">
        <v>4.1399999999999997</v>
      </c>
      <c r="H381" s="354"/>
      <c r="I381" s="354"/>
      <c r="J381" s="354"/>
      <c r="K381" s="114">
        <f t="shared" si="29"/>
        <v>4.1399999999999997</v>
      </c>
      <c r="L381" s="109"/>
    </row>
    <row r="382" spans="1:12" s="133" customFormat="1" ht="15" customHeight="1" x14ac:dyDescent="0.2">
      <c r="A382" s="128"/>
      <c r="B382" s="122" t="s">
        <v>92</v>
      </c>
      <c r="C382" s="136"/>
      <c r="D382" s="136"/>
      <c r="E382" s="136"/>
      <c r="F382" s="136"/>
      <c r="G382" s="330">
        <v>6.9</v>
      </c>
      <c r="H382" s="354"/>
      <c r="I382" s="354"/>
      <c r="J382" s="354"/>
      <c r="K382" s="114">
        <f t="shared" si="29"/>
        <v>6.9</v>
      </c>
      <c r="L382" s="109"/>
    </row>
    <row r="383" spans="1:12" s="133" customFormat="1" ht="15" customHeight="1" x14ac:dyDescent="0.2">
      <c r="A383" s="128"/>
      <c r="B383" s="115" t="s">
        <v>9</v>
      </c>
      <c r="C383" s="116"/>
      <c r="D383" s="117"/>
      <c r="E383" s="117"/>
      <c r="F383" s="117"/>
      <c r="G383" s="117"/>
      <c r="H383" s="117"/>
      <c r="I383" s="117"/>
      <c r="J383" s="117"/>
      <c r="K383" s="118">
        <f>SUM(K379:K382)</f>
        <v>147.54</v>
      </c>
      <c r="L383" s="119" t="s">
        <v>6</v>
      </c>
    </row>
    <row r="384" spans="1:12" s="133" customFormat="1" ht="15" customHeight="1" x14ac:dyDescent="0.2">
      <c r="A384" s="128"/>
      <c r="B384" s="221"/>
      <c r="C384" s="20"/>
      <c r="D384" s="107"/>
      <c r="E384" s="20"/>
      <c r="F384" s="21"/>
      <c r="G384" s="20"/>
      <c r="H384" s="21"/>
      <c r="I384" s="21"/>
      <c r="J384" s="21"/>
      <c r="K384" s="108"/>
      <c r="L384" s="109"/>
    </row>
    <row r="385" spans="1:12" s="133" customFormat="1" ht="15" customHeight="1" x14ac:dyDescent="0.2">
      <c r="A385" s="110" t="s">
        <v>703</v>
      </c>
      <c r="B385" s="567" t="str">
        <f>'Planilha Orçamentária'!D80</f>
        <v xml:space="preserve">Revestimento cerâmico para piso com placas tipo esmaltada extra de dimensões 60x60 cm aplicada em ambientes de área maior que 10m². </v>
      </c>
      <c r="C385" s="568"/>
      <c r="D385" s="568"/>
      <c r="E385" s="568"/>
      <c r="F385" s="568"/>
      <c r="G385" s="568"/>
      <c r="H385" s="568"/>
      <c r="I385" s="568"/>
      <c r="J385" s="568"/>
      <c r="K385" s="569"/>
      <c r="L385" s="111"/>
    </row>
    <row r="386" spans="1:12" s="133" customFormat="1" ht="15" customHeight="1" x14ac:dyDescent="0.2">
      <c r="A386" s="110"/>
      <c r="B386" s="122" t="s">
        <v>91</v>
      </c>
      <c r="C386" s="40"/>
      <c r="D386" s="144"/>
      <c r="E386" s="144"/>
      <c r="F386" s="144"/>
      <c r="G386" s="40">
        <v>9.6</v>
      </c>
      <c r="H386" s="144"/>
      <c r="I386" s="144"/>
      <c r="J386" s="144"/>
      <c r="K386" s="123">
        <f t="shared" ref="K386:K388" si="30">G386</f>
        <v>9.6</v>
      </c>
      <c r="L386" s="111"/>
    </row>
    <row r="387" spans="1:12" s="133" customFormat="1" ht="15" customHeight="1" x14ac:dyDescent="0.2">
      <c r="A387" s="110"/>
      <c r="B387" s="112" t="s">
        <v>185</v>
      </c>
      <c r="C387" s="40"/>
      <c r="D387" s="144"/>
      <c r="E387" s="144"/>
      <c r="F387" s="144"/>
      <c r="G387" s="40">
        <v>8.85</v>
      </c>
      <c r="H387" s="144"/>
      <c r="I387" s="144"/>
      <c r="J387" s="144"/>
      <c r="K387" s="123">
        <f t="shared" si="30"/>
        <v>8.85</v>
      </c>
      <c r="L387" s="111"/>
    </row>
    <row r="388" spans="1:12" s="133" customFormat="1" ht="15" customHeight="1" x14ac:dyDescent="0.2">
      <c r="A388" s="110"/>
      <c r="B388" s="112" t="s">
        <v>186</v>
      </c>
      <c r="C388" s="40"/>
      <c r="D388" s="144"/>
      <c r="E388" s="144"/>
      <c r="F388" s="144"/>
      <c r="G388" s="40">
        <v>8.85</v>
      </c>
      <c r="H388" s="144"/>
      <c r="I388" s="144"/>
      <c r="J388" s="144"/>
      <c r="K388" s="123">
        <f t="shared" si="30"/>
        <v>8.85</v>
      </c>
      <c r="L388" s="111"/>
    </row>
    <row r="389" spans="1:12" s="133" customFormat="1" ht="15" customHeight="1" x14ac:dyDescent="0.2">
      <c r="A389" s="110"/>
      <c r="B389" s="115" t="s">
        <v>9</v>
      </c>
      <c r="C389" s="116"/>
      <c r="D389" s="117"/>
      <c r="E389" s="117"/>
      <c r="F389" s="117"/>
      <c r="G389" s="117"/>
      <c r="H389" s="117"/>
      <c r="I389" s="117"/>
      <c r="J389" s="117"/>
      <c r="K389" s="118">
        <f>SUM(K386:K388)</f>
        <v>27.299999999999997</v>
      </c>
      <c r="L389" s="119" t="s">
        <v>6</v>
      </c>
    </row>
    <row r="390" spans="1:12" s="133" customFormat="1" ht="15" customHeight="1" x14ac:dyDescent="0.2">
      <c r="A390" s="110"/>
      <c r="B390" s="112"/>
      <c r="C390" s="40"/>
      <c r="D390" s="96"/>
      <c r="E390" s="96"/>
      <c r="F390" s="96"/>
      <c r="G390" s="96"/>
      <c r="H390" s="96"/>
      <c r="I390" s="293"/>
      <c r="J390" s="293"/>
      <c r="K390" s="129"/>
      <c r="L390" s="111"/>
    </row>
    <row r="391" spans="1:12" s="133" customFormat="1" ht="15" customHeight="1" x14ac:dyDescent="0.2">
      <c r="A391" s="110" t="s">
        <v>704</v>
      </c>
      <c r="B391" s="567" t="str">
        <f>'Planilha Orçamentária'!D81</f>
        <v>Rodapé de argamassa de cimento e areia no traço 1:3, altura de 7 cm e espessura de 2 cm</v>
      </c>
      <c r="C391" s="568"/>
      <c r="D391" s="568"/>
      <c r="E391" s="568"/>
      <c r="F391" s="568"/>
      <c r="G391" s="568"/>
      <c r="H391" s="568"/>
      <c r="I391" s="568"/>
      <c r="J391" s="568"/>
      <c r="K391" s="569"/>
      <c r="L391" s="111"/>
    </row>
    <row r="392" spans="1:12" s="133" customFormat="1" ht="15" customHeight="1" x14ac:dyDescent="0.2">
      <c r="A392" s="110"/>
      <c r="B392" s="122" t="s">
        <v>92</v>
      </c>
      <c r="C392" s="144"/>
      <c r="D392" s="40">
        <f>2*3+2*2.3</f>
        <v>10.6</v>
      </c>
      <c r="E392" s="144"/>
      <c r="F392" s="144"/>
      <c r="G392" s="144"/>
      <c r="H392" s="144"/>
      <c r="I392" s="144"/>
      <c r="J392" s="40">
        <f>0.8</f>
        <v>0.8</v>
      </c>
      <c r="K392" s="123">
        <f>TRUNC(D392-J392,2)</f>
        <v>9.8000000000000007</v>
      </c>
      <c r="L392" s="111"/>
    </row>
    <row r="393" spans="1:12" s="133" customFormat="1" ht="15" customHeight="1" x14ac:dyDescent="0.2">
      <c r="A393" s="110"/>
      <c r="B393" s="122" t="s">
        <v>93</v>
      </c>
      <c r="C393" s="40"/>
      <c r="D393" s="40">
        <f>3.45*2+1.2*2</f>
        <v>9.3000000000000007</v>
      </c>
      <c r="E393" s="144"/>
      <c r="F393" s="144"/>
      <c r="G393" s="40"/>
      <c r="H393" s="144"/>
      <c r="I393" s="144"/>
      <c r="J393" s="40">
        <f>0.8*5</f>
        <v>4</v>
      </c>
      <c r="K393" s="123">
        <f t="shared" ref="K393:K394" si="31">TRUNC(D393-J393,2)</f>
        <v>5.3</v>
      </c>
      <c r="L393" s="111"/>
    </row>
    <row r="394" spans="1:12" s="133" customFormat="1" ht="15" customHeight="1" x14ac:dyDescent="0.2">
      <c r="A394" s="110"/>
      <c r="B394" s="122" t="s">
        <v>187</v>
      </c>
      <c r="C394" s="40"/>
      <c r="D394" s="40">
        <f>2*6.65+2*2.3</f>
        <v>17.899999999999999</v>
      </c>
      <c r="E394" s="144"/>
      <c r="F394" s="144"/>
      <c r="G394" s="40"/>
      <c r="H394" s="144"/>
      <c r="I394" s="144"/>
      <c r="J394" s="40">
        <f>0.8</f>
        <v>0.8</v>
      </c>
      <c r="K394" s="123">
        <f t="shared" si="31"/>
        <v>17.100000000000001</v>
      </c>
      <c r="L394" s="111"/>
    </row>
    <row r="395" spans="1:12" s="133" customFormat="1" ht="15" customHeight="1" x14ac:dyDescent="0.2">
      <c r="A395" s="110"/>
      <c r="B395" s="115" t="s">
        <v>9</v>
      </c>
      <c r="C395" s="116"/>
      <c r="D395" s="117"/>
      <c r="E395" s="117"/>
      <c r="F395" s="117"/>
      <c r="G395" s="117"/>
      <c r="H395" s="117"/>
      <c r="I395" s="117"/>
      <c r="J395" s="117"/>
      <c r="K395" s="118">
        <f>SUM(K392:K394)</f>
        <v>32.200000000000003</v>
      </c>
      <c r="L395" s="119" t="s">
        <v>5</v>
      </c>
    </row>
    <row r="396" spans="1:12" s="133" customFormat="1" ht="15" customHeight="1" x14ac:dyDescent="0.2">
      <c r="A396" s="110"/>
      <c r="B396" s="112"/>
      <c r="C396" s="40"/>
      <c r="D396" s="207"/>
      <c r="E396" s="207"/>
      <c r="F396" s="207"/>
      <c r="G396" s="207"/>
      <c r="H396" s="207"/>
      <c r="I396" s="293"/>
      <c r="J396" s="293"/>
      <c r="K396" s="129"/>
      <c r="L396" s="111"/>
    </row>
    <row r="397" spans="1:12" s="133" customFormat="1" ht="15" customHeight="1" x14ac:dyDescent="0.2">
      <c r="A397" s="110" t="s">
        <v>705</v>
      </c>
      <c r="B397" s="221" t="str">
        <f>'Planilha Orçamentária'!D82</f>
        <v>Soleira de granito esp. 2 cm e largura de 15 cm</v>
      </c>
      <c r="C397" s="40"/>
      <c r="D397" s="225"/>
      <c r="E397" s="225"/>
      <c r="F397" s="225"/>
      <c r="G397" s="225"/>
      <c r="H397" s="225"/>
      <c r="I397" s="293"/>
      <c r="J397" s="293"/>
      <c r="K397" s="129"/>
      <c r="L397" s="111"/>
    </row>
    <row r="398" spans="1:12" s="133" customFormat="1" ht="15" customHeight="1" x14ac:dyDescent="0.2">
      <c r="A398" s="110"/>
      <c r="B398" s="122" t="s">
        <v>579</v>
      </c>
      <c r="C398" s="40">
        <v>6</v>
      </c>
      <c r="D398" s="127">
        <v>0.8</v>
      </c>
      <c r="E398" s="225"/>
      <c r="F398" s="225"/>
      <c r="G398" s="225"/>
      <c r="H398" s="225"/>
      <c r="I398" s="293"/>
      <c r="J398" s="293"/>
      <c r="K398" s="129">
        <f>TRUNC(C398*D398,2)</f>
        <v>4.8</v>
      </c>
      <c r="L398" s="111"/>
    </row>
    <row r="399" spans="1:12" s="133" customFormat="1" ht="15" customHeight="1" x14ac:dyDescent="0.2">
      <c r="A399" s="110"/>
      <c r="B399" s="115" t="s">
        <v>9</v>
      </c>
      <c r="C399" s="116"/>
      <c r="D399" s="117"/>
      <c r="E399" s="117"/>
      <c r="F399" s="117"/>
      <c r="G399" s="117"/>
      <c r="H399" s="117"/>
      <c r="I399" s="117"/>
      <c r="J399" s="117"/>
      <c r="K399" s="118">
        <f>SUM(K398:K398)</f>
        <v>4.8</v>
      </c>
      <c r="L399" s="119" t="s">
        <v>5</v>
      </c>
    </row>
    <row r="400" spans="1:12" s="133" customFormat="1" ht="15" customHeight="1" x14ac:dyDescent="0.2">
      <c r="A400" s="110"/>
      <c r="B400" s="112"/>
      <c r="C400" s="40"/>
      <c r="D400" s="225"/>
      <c r="E400" s="225"/>
      <c r="F400" s="225"/>
      <c r="G400" s="225"/>
      <c r="H400" s="225"/>
      <c r="I400" s="293"/>
      <c r="J400" s="293"/>
      <c r="K400" s="129"/>
      <c r="L400" s="111"/>
    </row>
    <row r="401" spans="1:12" s="133" customFormat="1" ht="15" customHeight="1" x14ac:dyDescent="0.2">
      <c r="A401" s="124" t="s">
        <v>706</v>
      </c>
      <c r="B401" s="125" t="str">
        <f>'Planilha Orçamentária'!D85</f>
        <v>REVESTIMENTO DE TETOS</v>
      </c>
      <c r="C401" s="40"/>
      <c r="D401" s="225"/>
      <c r="E401" s="225"/>
      <c r="F401" s="225"/>
      <c r="G401" s="225"/>
      <c r="H401" s="225"/>
      <c r="I401" s="293"/>
      <c r="J401" s="293"/>
      <c r="K401" s="129"/>
      <c r="L401" s="111"/>
    </row>
    <row r="402" spans="1:12" s="133" customFormat="1" ht="15" customHeight="1" x14ac:dyDescent="0.2">
      <c r="A402" s="110" t="s">
        <v>707</v>
      </c>
      <c r="B402" s="221" t="str">
        <f>'Planilha Orçamentária'!D86</f>
        <v>Forro de gesso acabamento tipo liso</v>
      </c>
      <c r="C402" s="40"/>
      <c r="D402" s="225"/>
      <c r="E402" s="225"/>
      <c r="F402" s="225"/>
      <c r="G402" s="225"/>
      <c r="H402" s="225"/>
      <c r="I402" s="293"/>
      <c r="J402" s="293"/>
      <c r="K402" s="129"/>
      <c r="L402" s="111"/>
    </row>
    <row r="403" spans="1:12" s="133" customFormat="1" ht="15" customHeight="1" x14ac:dyDescent="0.2">
      <c r="A403" s="110"/>
      <c r="B403" s="122" t="s">
        <v>92</v>
      </c>
      <c r="C403" s="40"/>
      <c r="D403" s="225"/>
      <c r="E403" s="225"/>
      <c r="F403" s="225"/>
      <c r="G403" s="40">
        <v>6.9</v>
      </c>
      <c r="H403" s="225"/>
      <c r="I403" s="293"/>
      <c r="J403" s="293"/>
      <c r="K403" s="129">
        <f>G403</f>
        <v>6.9</v>
      </c>
      <c r="L403" s="111"/>
    </row>
    <row r="404" spans="1:12" s="133" customFormat="1" ht="15" customHeight="1" x14ac:dyDescent="0.2">
      <c r="A404" s="110"/>
      <c r="B404" s="122" t="s">
        <v>91</v>
      </c>
      <c r="C404" s="40"/>
      <c r="D404" s="225"/>
      <c r="E404" s="225"/>
      <c r="F404" s="225"/>
      <c r="G404" s="40">
        <v>9.6</v>
      </c>
      <c r="H404" s="225"/>
      <c r="I404" s="293"/>
      <c r="J404" s="293"/>
      <c r="K404" s="129">
        <f>G404</f>
        <v>9.6</v>
      </c>
      <c r="L404" s="111"/>
    </row>
    <row r="405" spans="1:12" s="133" customFormat="1" ht="15" customHeight="1" x14ac:dyDescent="0.2">
      <c r="A405" s="110"/>
      <c r="B405" s="122" t="s">
        <v>93</v>
      </c>
      <c r="C405" s="40"/>
      <c r="D405" s="225"/>
      <c r="E405" s="225"/>
      <c r="F405" s="225"/>
      <c r="G405" s="144">
        <v>4.1399999999999997</v>
      </c>
      <c r="H405" s="225"/>
      <c r="I405" s="293"/>
      <c r="J405" s="293"/>
      <c r="K405" s="129">
        <f>G405</f>
        <v>4.1399999999999997</v>
      </c>
      <c r="L405" s="111"/>
    </row>
    <row r="406" spans="1:12" s="133" customFormat="1" ht="15" customHeight="1" x14ac:dyDescent="0.2">
      <c r="A406" s="110"/>
      <c r="B406" s="112" t="s">
        <v>187</v>
      </c>
      <c r="C406" s="40"/>
      <c r="D406" s="225"/>
      <c r="E406" s="225"/>
      <c r="F406" s="225"/>
      <c r="G406" s="144">
        <v>15.29</v>
      </c>
      <c r="H406" s="225"/>
      <c r="I406" s="293"/>
      <c r="J406" s="293"/>
      <c r="K406" s="129">
        <f>G406</f>
        <v>15.29</v>
      </c>
      <c r="L406" s="111"/>
    </row>
    <row r="407" spans="1:12" s="133" customFormat="1" ht="15" customHeight="1" x14ac:dyDescent="0.2">
      <c r="A407" s="110"/>
      <c r="B407" s="115" t="s">
        <v>9</v>
      </c>
      <c r="C407" s="116"/>
      <c r="D407" s="117"/>
      <c r="E407" s="117"/>
      <c r="F407" s="117"/>
      <c r="G407" s="117"/>
      <c r="H407" s="117"/>
      <c r="I407" s="117"/>
      <c r="J407" s="117"/>
      <c r="K407" s="118">
        <f>SUM(K403:K406)</f>
        <v>35.93</v>
      </c>
      <c r="L407" s="119" t="s">
        <v>6</v>
      </c>
    </row>
    <row r="408" spans="1:12" s="133" customFormat="1" ht="15" customHeight="1" x14ac:dyDescent="0.2">
      <c r="A408" s="110"/>
      <c r="B408" s="112"/>
      <c r="C408" s="40"/>
      <c r="D408" s="225"/>
      <c r="E408" s="225"/>
      <c r="F408" s="225"/>
      <c r="G408" s="225"/>
      <c r="H408" s="225"/>
      <c r="I408" s="293"/>
      <c r="J408" s="293"/>
      <c r="K408" s="129"/>
      <c r="L408" s="111"/>
    </row>
    <row r="409" spans="1:12" s="134" customFormat="1" ht="15" customHeight="1" x14ac:dyDescent="0.2">
      <c r="A409" s="128" t="s">
        <v>708</v>
      </c>
      <c r="B409" s="106" t="str">
        <f>'Planilha Orçamentária'!D89</f>
        <v>ESQUADRIAS</v>
      </c>
      <c r="C409" s="20"/>
      <c r="D409" s="107"/>
      <c r="E409" s="20"/>
      <c r="F409" s="21"/>
      <c r="G409" s="20"/>
      <c r="H409" s="21"/>
      <c r="I409" s="21"/>
      <c r="J409" s="21"/>
      <c r="K409" s="108"/>
      <c r="L409" s="111"/>
    </row>
    <row r="410" spans="1:12" s="134" customFormat="1" ht="15" customHeight="1" x14ac:dyDescent="0.2">
      <c r="A410" s="110" t="s">
        <v>709</v>
      </c>
      <c r="B410" s="567" t="str">
        <f>'Planilha Orçamentária'!D90</f>
        <v>Janela de correr para vidro em alumínio anodizado cor natural, linha 25, completa, incl. puxador com tranca, alizar, caixilho e contramarco, exclusive vidro</v>
      </c>
      <c r="C410" s="568"/>
      <c r="D410" s="568"/>
      <c r="E410" s="568"/>
      <c r="F410" s="568"/>
      <c r="G410" s="568"/>
      <c r="H410" s="568"/>
      <c r="I410" s="568"/>
      <c r="J410" s="568"/>
      <c r="K410" s="569"/>
      <c r="L410" s="139"/>
    </row>
    <row r="411" spans="1:12" s="134" customFormat="1" ht="15" customHeight="1" x14ac:dyDescent="0.2">
      <c r="A411" s="152"/>
      <c r="B411" s="122" t="s">
        <v>92</v>
      </c>
      <c r="C411" s="136"/>
      <c r="D411" s="40">
        <v>1.5</v>
      </c>
      <c r="E411" s="136"/>
      <c r="F411" s="40">
        <v>1.2</v>
      </c>
      <c r="G411" s="24">
        <f>TRUNC(D411*F411,2)</f>
        <v>1.8</v>
      </c>
      <c r="H411" s="136"/>
      <c r="I411" s="136"/>
      <c r="J411" s="136"/>
      <c r="K411" s="163">
        <f>G411</f>
        <v>1.8</v>
      </c>
      <c r="L411" s="139"/>
    </row>
    <row r="412" spans="1:12" ht="15" customHeight="1" x14ac:dyDescent="0.2">
      <c r="A412" s="378"/>
      <c r="B412" s="112" t="s">
        <v>91</v>
      </c>
      <c r="C412" s="126"/>
      <c r="D412" s="162">
        <v>2</v>
      </c>
      <c r="E412" s="113"/>
      <c r="F412" s="24">
        <v>1.2</v>
      </c>
      <c r="G412" s="24">
        <f>TRUNC(D412*F412,2)</f>
        <v>2.4</v>
      </c>
      <c r="H412" s="24"/>
      <c r="I412" s="24"/>
      <c r="J412" s="24"/>
      <c r="K412" s="145">
        <f>G412</f>
        <v>2.4</v>
      </c>
      <c r="L412" s="140"/>
    </row>
    <row r="413" spans="1:12" ht="15" customHeight="1" x14ac:dyDescent="0.2">
      <c r="A413" s="378"/>
      <c r="B413" s="115" t="s">
        <v>9</v>
      </c>
      <c r="C413" s="116"/>
      <c r="D413" s="117"/>
      <c r="E413" s="117"/>
      <c r="F413" s="117"/>
      <c r="G413" s="117"/>
      <c r="H413" s="117"/>
      <c r="I413" s="117"/>
      <c r="J413" s="117"/>
      <c r="K413" s="118">
        <f>SUM(K411:K412)</f>
        <v>4.2</v>
      </c>
      <c r="L413" s="119" t="s">
        <v>6</v>
      </c>
    </row>
    <row r="414" spans="1:12" ht="15" customHeight="1" x14ac:dyDescent="0.2">
      <c r="A414" s="379"/>
      <c r="B414" s="141"/>
      <c r="K414" s="142"/>
      <c r="L414" s="142"/>
    </row>
    <row r="415" spans="1:12" ht="15" customHeight="1" x14ac:dyDescent="0.2">
      <c r="A415" s="379" t="s">
        <v>711</v>
      </c>
      <c r="B415" s="224" t="str">
        <f>'Planilha Orçamentária'!D91</f>
        <v>Peitoril de granito cinza polido, 15 cm, esp. 3cm</v>
      </c>
      <c r="K415" s="143"/>
    </row>
    <row r="416" spans="1:12" ht="15" customHeight="1" x14ac:dyDescent="0.2">
      <c r="A416" s="379"/>
      <c r="B416" s="160" t="s">
        <v>92</v>
      </c>
      <c r="D416" s="18">
        <v>1.5</v>
      </c>
      <c r="K416" s="143">
        <f>D416</f>
        <v>1.5</v>
      </c>
    </row>
    <row r="417" spans="1:12" ht="15" customHeight="1" x14ac:dyDescent="0.2">
      <c r="A417" s="379"/>
      <c r="B417" s="160" t="s">
        <v>91</v>
      </c>
      <c r="D417" s="18">
        <v>2</v>
      </c>
      <c r="K417" s="143">
        <f>D417</f>
        <v>2</v>
      </c>
    </row>
    <row r="418" spans="1:12" ht="15" customHeight="1" x14ac:dyDescent="0.2">
      <c r="A418" s="379"/>
      <c r="B418" s="115" t="s">
        <v>9</v>
      </c>
      <c r="C418" s="116"/>
      <c r="D418" s="117"/>
      <c r="E418" s="117"/>
      <c r="F418" s="117"/>
      <c r="G418" s="117"/>
      <c r="H418" s="117"/>
      <c r="I418" s="117"/>
      <c r="J418" s="117"/>
      <c r="K418" s="118">
        <f>SUM(K416:K417)</f>
        <v>3.5</v>
      </c>
      <c r="L418" s="119" t="s">
        <v>5</v>
      </c>
    </row>
    <row r="419" spans="1:12" ht="15" customHeight="1" x14ac:dyDescent="0.2">
      <c r="A419" s="379"/>
      <c r="K419" s="143"/>
    </row>
    <row r="420" spans="1:12" ht="15" customHeight="1" x14ac:dyDescent="0.2">
      <c r="A420" s="379" t="s">
        <v>712</v>
      </c>
      <c r="B420" s="558" t="str">
        <f>'Planilha Orçamentária'!D92</f>
        <v>Vidro plano transparente liso, com 4 mm de espessura</v>
      </c>
      <c r="C420" s="559"/>
      <c r="D420" s="559"/>
      <c r="E420" s="559"/>
      <c r="F420" s="559"/>
      <c r="G420" s="559"/>
      <c r="H420" s="559"/>
      <c r="I420" s="559"/>
      <c r="J420" s="559"/>
      <c r="K420" s="560"/>
    </row>
    <row r="421" spans="1:12" ht="15" customHeight="1" x14ac:dyDescent="0.2">
      <c r="A421" s="379"/>
      <c r="B421" s="122" t="s">
        <v>92</v>
      </c>
      <c r="C421" s="136"/>
      <c r="D421" s="40">
        <v>1.5</v>
      </c>
      <c r="E421" s="136"/>
      <c r="F421" s="40">
        <v>1.2</v>
      </c>
      <c r="G421" s="24">
        <f>TRUNC(D421*F421,2)</f>
        <v>1.8</v>
      </c>
      <c r="H421" s="136"/>
      <c r="I421" s="136"/>
      <c r="J421" s="136"/>
      <c r="K421" s="163">
        <f>G421</f>
        <v>1.8</v>
      </c>
    </row>
    <row r="422" spans="1:12" ht="15" customHeight="1" x14ac:dyDescent="0.2">
      <c r="A422" s="379"/>
      <c r="B422" s="112" t="s">
        <v>91</v>
      </c>
      <c r="C422" s="126"/>
      <c r="D422" s="162">
        <v>2</v>
      </c>
      <c r="E422" s="113"/>
      <c r="F422" s="24">
        <v>1.2</v>
      </c>
      <c r="G422" s="24">
        <f>TRUNC(D422*F422,2)</f>
        <v>2.4</v>
      </c>
      <c r="H422" s="24"/>
      <c r="I422" s="24"/>
      <c r="J422" s="24"/>
      <c r="K422" s="145">
        <f>G422</f>
        <v>2.4</v>
      </c>
    </row>
    <row r="423" spans="1:12" ht="15" customHeight="1" x14ac:dyDescent="0.2">
      <c r="A423" s="379"/>
      <c r="B423" s="154" t="s">
        <v>47</v>
      </c>
      <c r="C423" s="153"/>
      <c r="D423" s="153"/>
      <c r="E423" s="153"/>
      <c r="F423" s="153"/>
      <c r="G423" s="153"/>
      <c r="H423" s="153"/>
      <c r="I423" s="153"/>
      <c r="J423" s="153"/>
      <c r="K423" s="159">
        <f>SUM(K421:K422)</f>
        <v>4.2</v>
      </c>
      <c r="L423" s="158" t="s">
        <v>6</v>
      </c>
    </row>
    <row r="424" spans="1:12" ht="15" customHeight="1" x14ac:dyDescent="0.2">
      <c r="A424" s="379"/>
      <c r="K424" s="143"/>
    </row>
    <row r="425" spans="1:12" ht="15" customHeight="1" x14ac:dyDescent="0.2">
      <c r="A425" s="379" t="s">
        <v>713</v>
      </c>
      <c r="B425" s="561" t="str">
        <f>'Planilha Orçamentária'!D93</f>
        <v>Porta de abrir tipo veneziana em alumínio anodizado, linha 25, completa, incl. puxador com tranca, caixilho, alizar e
contramarco</v>
      </c>
      <c r="C425" s="562"/>
      <c r="D425" s="562"/>
      <c r="E425" s="562"/>
      <c r="F425" s="562"/>
      <c r="G425" s="562"/>
      <c r="H425" s="562"/>
      <c r="I425" s="562"/>
      <c r="J425" s="562"/>
      <c r="K425" s="563"/>
    </row>
    <row r="426" spans="1:12" ht="15" customHeight="1" x14ac:dyDescent="0.2">
      <c r="A426" s="379"/>
      <c r="B426" s="155" t="s">
        <v>580</v>
      </c>
      <c r="C426" s="18">
        <v>2</v>
      </c>
      <c r="E426" s="18">
        <v>0.7</v>
      </c>
      <c r="F426" s="18">
        <v>1.8</v>
      </c>
      <c r="G426" s="24">
        <f>TRUNC(E426*F426,2)</f>
        <v>1.26</v>
      </c>
      <c r="K426" s="143">
        <f>TRUNC(G426*C426,2)</f>
        <v>2.52</v>
      </c>
    </row>
    <row r="427" spans="1:12" ht="15" customHeight="1" x14ac:dyDescent="0.2">
      <c r="A427" s="379"/>
      <c r="B427" s="160" t="s">
        <v>581</v>
      </c>
      <c r="C427" s="18">
        <v>2</v>
      </c>
      <c r="E427" s="18">
        <v>0.7</v>
      </c>
      <c r="F427" s="18">
        <v>1.94</v>
      </c>
      <c r="G427" s="24">
        <f>TRUNC(E427*F427,2)</f>
        <v>1.35</v>
      </c>
      <c r="K427" s="143">
        <f>TRUNC(G427*C427,2)</f>
        <v>2.7</v>
      </c>
    </row>
    <row r="428" spans="1:12" ht="15" customHeight="1" x14ac:dyDescent="0.2">
      <c r="A428" s="379"/>
      <c r="B428" s="115" t="s">
        <v>9</v>
      </c>
      <c r="C428" s="116"/>
      <c r="D428" s="117"/>
      <c r="E428" s="117"/>
      <c r="F428" s="117"/>
      <c r="G428" s="117"/>
      <c r="H428" s="117"/>
      <c r="I428" s="117"/>
      <c r="J428" s="117"/>
      <c r="K428" s="118">
        <f>SUM(K426:K427)</f>
        <v>5.2200000000000006</v>
      </c>
      <c r="L428" s="119" t="s">
        <v>6</v>
      </c>
    </row>
    <row r="429" spans="1:12" ht="15" customHeight="1" x14ac:dyDescent="0.2">
      <c r="A429" s="379"/>
      <c r="B429" s="120"/>
      <c r="C429" s="23"/>
      <c r="D429" s="25"/>
      <c r="E429" s="25"/>
      <c r="F429" s="25"/>
      <c r="G429" s="25"/>
      <c r="H429" s="25"/>
      <c r="I429" s="25"/>
      <c r="J429" s="25"/>
      <c r="K429" s="121"/>
      <c r="L429" s="25"/>
    </row>
    <row r="430" spans="1:12" ht="27" customHeight="1" x14ac:dyDescent="0.2">
      <c r="A430" s="379" t="s">
        <v>714</v>
      </c>
      <c r="B430" s="567" t="str">
        <f>'Planilha Orçamentária'!D94</f>
        <v>Kit de porta de madeira para pintura, semi-oca (leve ou média), padrão popular, 80x210cm, espessura de 3,5cm, itens inclusos: dobradiças, montagem e instalação do batente, fechadura com execução do furo - fornecimento e instalação</v>
      </c>
      <c r="C430" s="568"/>
      <c r="D430" s="568"/>
      <c r="E430" s="286"/>
      <c r="F430" s="286"/>
      <c r="G430" s="286"/>
      <c r="H430" s="286"/>
      <c r="I430" s="286"/>
      <c r="J430" s="286"/>
      <c r="K430" s="135"/>
      <c r="L430" s="25"/>
    </row>
    <row r="431" spans="1:12" ht="15" customHeight="1" x14ac:dyDescent="0.2">
      <c r="A431" s="379"/>
      <c r="B431" s="122" t="s">
        <v>267</v>
      </c>
      <c r="C431" s="40">
        <v>6</v>
      </c>
      <c r="D431" s="161"/>
      <c r="E431" s="161"/>
      <c r="F431" s="161"/>
      <c r="G431" s="161"/>
      <c r="H431" s="161"/>
      <c r="I431" s="293"/>
      <c r="J431" s="293"/>
      <c r="K431" s="123">
        <f>C431</f>
        <v>6</v>
      </c>
      <c r="L431" s="25"/>
    </row>
    <row r="432" spans="1:12" ht="15" customHeight="1" x14ac:dyDescent="0.2">
      <c r="A432" s="379"/>
      <c r="B432" s="115" t="s">
        <v>9</v>
      </c>
      <c r="C432" s="116"/>
      <c r="D432" s="117"/>
      <c r="E432" s="117"/>
      <c r="F432" s="117"/>
      <c r="G432" s="117"/>
      <c r="H432" s="117"/>
      <c r="I432" s="117"/>
      <c r="J432" s="117"/>
      <c r="K432" s="118">
        <f>SUM(K431:K431)</f>
        <v>6</v>
      </c>
      <c r="L432" s="119" t="s">
        <v>4</v>
      </c>
    </row>
    <row r="433" spans="1:12" ht="15" customHeight="1" x14ac:dyDescent="0.2">
      <c r="A433" s="379"/>
      <c r="B433" s="112"/>
      <c r="C433" s="23"/>
      <c r="D433" s="25"/>
      <c r="E433" s="25"/>
      <c r="F433" s="25"/>
      <c r="G433" s="25"/>
      <c r="H433" s="25"/>
      <c r="I433" s="25"/>
      <c r="J433" s="25"/>
      <c r="K433" s="121"/>
      <c r="L433" s="25"/>
    </row>
    <row r="434" spans="1:12" ht="15" customHeight="1" x14ac:dyDescent="0.2">
      <c r="A434" s="379" t="s">
        <v>715</v>
      </c>
      <c r="B434" s="567" t="str">
        <f>'Planilha Orçamentária'!D95</f>
        <v>Cobogó de concreto 40 x 40 x 10 cm, tipo reto, assentados com argamassa de cimento e areia no traço 1:3, espessura
das juntas 15 mm</v>
      </c>
      <c r="C434" s="568"/>
      <c r="D434" s="568"/>
      <c r="E434" s="568"/>
      <c r="F434" s="568"/>
      <c r="G434" s="568"/>
      <c r="H434" s="568"/>
      <c r="I434" s="568"/>
      <c r="J434" s="568"/>
      <c r="K434" s="569"/>
      <c r="L434" s="25"/>
    </row>
    <row r="435" spans="1:12" ht="15" customHeight="1" x14ac:dyDescent="0.2">
      <c r="A435" s="379"/>
      <c r="B435" s="122" t="s">
        <v>187</v>
      </c>
      <c r="C435" s="136"/>
      <c r="D435" s="40">
        <f>5.15+2.3</f>
        <v>7.45</v>
      </c>
      <c r="E435" s="136"/>
      <c r="F435" s="40">
        <v>0.8</v>
      </c>
      <c r="G435" s="23">
        <f>TRUNC(D435*F435,2)</f>
        <v>5.96</v>
      </c>
      <c r="H435" s="144"/>
      <c r="I435" s="144"/>
      <c r="J435" s="144"/>
      <c r="K435" s="163">
        <f>G435</f>
        <v>5.96</v>
      </c>
      <c r="L435" s="23"/>
    </row>
    <row r="436" spans="1:12" ht="15" customHeight="1" x14ac:dyDescent="0.2">
      <c r="A436" s="379"/>
      <c r="B436" s="112" t="s">
        <v>185</v>
      </c>
      <c r="C436" s="23"/>
      <c r="D436" s="19">
        <f>2.2+2</f>
        <v>4.2</v>
      </c>
      <c r="E436" s="23"/>
      <c r="F436" s="19">
        <v>0.8</v>
      </c>
      <c r="G436" s="23">
        <f t="shared" ref="G436:G437" si="32">TRUNC(D436*F436,2)</f>
        <v>3.36</v>
      </c>
      <c r="H436" s="19"/>
      <c r="I436" s="19"/>
      <c r="J436" s="19"/>
      <c r="K436" s="163">
        <f t="shared" ref="K436:K437" si="33">G436</f>
        <v>3.36</v>
      </c>
      <c r="L436" s="23"/>
    </row>
    <row r="437" spans="1:12" ht="15" customHeight="1" x14ac:dyDescent="0.2">
      <c r="A437" s="379"/>
      <c r="B437" s="112" t="s">
        <v>186</v>
      </c>
      <c r="C437" s="23"/>
      <c r="D437" s="19">
        <f>2.2+2</f>
        <v>4.2</v>
      </c>
      <c r="E437" s="23"/>
      <c r="F437" s="19">
        <v>0.8</v>
      </c>
      <c r="G437" s="23">
        <f t="shared" si="32"/>
        <v>3.36</v>
      </c>
      <c r="H437" s="19"/>
      <c r="I437" s="19"/>
      <c r="J437" s="19"/>
      <c r="K437" s="163">
        <f t="shared" si="33"/>
        <v>3.36</v>
      </c>
      <c r="L437" s="23"/>
    </row>
    <row r="438" spans="1:12" ht="15" customHeight="1" x14ac:dyDescent="0.2">
      <c r="A438" s="379"/>
      <c r="B438" s="115" t="s">
        <v>9</v>
      </c>
      <c r="C438" s="116"/>
      <c r="D438" s="117"/>
      <c r="E438" s="117"/>
      <c r="F438" s="117"/>
      <c r="G438" s="117"/>
      <c r="H438" s="117"/>
      <c r="I438" s="117"/>
      <c r="J438" s="117"/>
      <c r="K438" s="118">
        <f>SUM(K435:K437)</f>
        <v>12.68</v>
      </c>
      <c r="L438" s="119" t="s">
        <v>6</v>
      </c>
    </row>
    <row r="439" spans="1:12" ht="15" customHeight="1" x14ac:dyDescent="0.2">
      <c r="A439" s="18"/>
      <c r="B439" s="112"/>
      <c r="C439" s="23"/>
      <c r="D439" s="25"/>
      <c r="E439" s="25"/>
      <c r="F439" s="25"/>
      <c r="G439" s="25"/>
      <c r="H439" s="25"/>
      <c r="I439" s="25"/>
      <c r="J439" s="25"/>
      <c r="K439" s="121"/>
      <c r="L439" s="25"/>
    </row>
    <row r="440" spans="1:12" ht="15" customHeight="1" x14ac:dyDescent="0.2">
      <c r="A440" s="157" t="s">
        <v>710</v>
      </c>
      <c r="B440" s="564" t="str">
        <f>'Planilha Orçamentária'!D98</f>
        <v>COBERTURA</v>
      </c>
      <c r="C440" s="565"/>
      <c r="D440" s="565"/>
      <c r="E440" s="565"/>
      <c r="F440" s="565"/>
      <c r="G440" s="565"/>
      <c r="H440" s="565"/>
      <c r="I440" s="565"/>
      <c r="J440" s="565"/>
      <c r="K440" s="566"/>
    </row>
    <row r="441" spans="1:12" ht="27" customHeight="1" x14ac:dyDescent="0.2">
      <c r="A441" s="379" t="s">
        <v>716</v>
      </c>
      <c r="B441" s="558" t="str">
        <f>'Planilha Orçamentária'!D99</f>
        <v xml:space="preserve">Trama de aço composta por terças para telhados de até duas águas para telha ondulada de fibrocimento, metálica, plástica ou termoacústica, incluso transporte vertical </v>
      </c>
      <c r="C441" s="559"/>
      <c r="D441" s="559"/>
      <c r="E441" s="178"/>
      <c r="F441" s="178"/>
      <c r="G441" s="178"/>
      <c r="H441" s="178"/>
      <c r="I441" s="178"/>
      <c r="J441" s="178"/>
      <c r="K441" s="179"/>
    </row>
    <row r="442" spans="1:12" ht="15" customHeight="1" x14ac:dyDescent="0.2">
      <c r="A442" s="379"/>
      <c r="B442" s="160" t="s">
        <v>586</v>
      </c>
      <c r="C442" s="186"/>
      <c r="D442" s="137">
        <v>13.3</v>
      </c>
      <c r="E442" s="137">
        <v>5.55</v>
      </c>
      <c r="F442" s="137"/>
      <c r="G442" s="137">
        <f>TRUNC(E442*D442,2)</f>
        <v>73.81</v>
      </c>
      <c r="H442" s="137"/>
      <c r="I442" s="343">
        <v>1.0049999999999999</v>
      </c>
      <c r="J442" s="137"/>
      <c r="K442" s="172">
        <f>TRUNC(G442*I442,2)</f>
        <v>74.17</v>
      </c>
    </row>
    <row r="443" spans="1:12" ht="15" customHeight="1" x14ac:dyDescent="0.2">
      <c r="A443" s="379"/>
      <c r="B443" s="154" t="s">
        <v>47</v>
      </c>
      <c r="C443" s="153"/>
      <c r="D443" s="153"/>
      <c r="E443" s="153"/>
      <c r="F443" s="153"/>
      <c r="G443" s="153"/>
      <c r="H443" s="153"/>
      <c r="I443" s="153"/>
      <c r="J443" s="153"/>
      <c r="K443" s="159">
        <f>SUM(K442:K442)</f>
        <v>74.17</v>
      </c>
      <c r="L443" s="159" t="s">
        <v>6</v>
      </c>
    </row>
    <row r="444" spans="1:12" ht="15" customHeight="1" x14ac:dyDescent="0.2">
      <c r="A444" s="157"/>
      <c r="B444" s="156"/>
      <c r="K444" s="143"/>
    </row>
    <row r="445" spans="1:12" ht="25.5" customHeight="1" x14ac:dyDescent="0.2">
      <c r="A445" s="206" t="s">
        <v>717</v>
      </c>
      <c r="B445" s="558" t="str">
        <f>'Planilha Orçamentária'!D100</f>
        <v>Estrut. metálica p/ quadra poliesp. coberta constituída por perfis formados a frio, aço estrutural ASTM A-570 G33 (terças) ASTM A-36 (demais perfis) c/ o sistema de trat. e pint conf descrito em notas da planilha</v>
      </c>
      <c r="C445" s="559"/>
      <c r="D445" s="559"/>
      <c r="E445" s="178"/>
      <c r="F445" s="178"/>
      <c r="G445" s="178"/>
      <c r="H445" s="178"/>
      <c r="I445" s="178"/>
      <c r="J445" s="178"/>
      <c r="K445" s="179"/>
    </row>
    <row r="446" spans="1:12" ht="15" customHeight="1" x14ac:dyDescent="0.2">
      <c r="A446" s="157"/>
      <c r="B446" s="160" t="s">
        <v>587</v>
      </c>
      <c r="C446" s="137">
        <v>2143.9</v>
      </c>
      <c r="D446" s="137"/>
      <c r="E446" s="137"/>
      <c r="F446" s="186"/>
      <c r="G446" s="137"/>
      <c r="H446" s="186"/>
      <c r="I446" s="186"/>
      <c r="J446" s="186"/>
      <c r="K446" s="172">
        <f>C446</f>
        <v>2143.9</v>
      </c>
    </row>
    <row r="447" spans="1:12" ht="15" customHeight="1" x14ac:dyDescent="0.2">
      <c r="A447" s="157"/>
      <c r="B447" s="154" t="s">
        <v>47</v>
      </c>
      <c r="C447" s="153"/>
      <c r="D447" s="153"/>
      <c r="E447" s="153"/>
      <c r="F447" s="153"/>
      <c r="G447" s="153"/>
      <c r="H447" s="153"/>
      <c r="I447" s="153"/>
      <c r="J447" s="153"/>
      <c r="K447" s="159">
        <f>SUM(K446:K446)</f>
        <v>2143.9</v>
      </c>
      <c r="L447" s="159" t="s">
        <v>231</v>
      </c>
    </row>
    <row r="448" spans="1:12" ht="15" customHeight="1" x14ac:dyDescent="0.2">
      <c r="A448" s="157"/>
      <c r="B448" s="160"/>
      <c r="K448" s="171"/>
      <c r="L448" s="173"/>
    </row>
    <row r="449" spans="1:12" s="185" customFormat="1" ht="15" customHeight="1" x14ac:dyDescent="0.2">
      <c r="A449" s="206" t="s">
        <v>718</v>
      </c>
      <c r="B449" s="558" t="str">
        <f>'Planilha Orçamentária'!D101</f>
        <v>Mão de obra e acessórios de fixação para instalação de cobertura em telha ondulada de alumínio - exclusive a telha</v>
      </c>
      <c r="C449" s="559"/>
      <c r="D449" s="559"/>
      <c r="E449" s="559"/>
      <c r="F449" s="559"/>
      <c r="G449" s="559"/>
      <c r="H449" s="559"/>
      <c r="I449" s="559"/>
      <c r="J449" s="559"/>
      <c r="K449" s="560"/>
      <c r="L449" s="173"/>
    </row>
    <row r="450" spans="1:12" ht="15" customHeight="1" x14ac:dyDescent="0.2">
      <c r="A450" s="206"/>
      <c r="B450" s="160" t="s">
        <v>590</v>
      </c>
      <c r="D450" s="137">
        <v>13.3</v>
      </c>
      <c r="E450" s="137">
        <v>5.55</v>
      </c>
      <c r="F450" s="137"/>
      <c r="G450" s="137">
        <f>TRUNC(E450*D450,2)</f>
        <v>73.81</v>
      </c>
      <c r="H450" s="137"/>
      <c r="I450" s="343">
        <v>1.0049999999999999</v>
      </c>
      <c r="J450" s="137"/>
      <c r="K450" s="172">
        <f>TRUNC(G450*I450,2)</f>
        <v>74.17</v>
      </c>
    </row>
    <row r="451" spans="1:12" ht="15" customHeight="1" x14ac:dyDescent="0.2">
      <c r="A451" s="206"/>
      <c r="B451" s="160" t="s">
        <v>591</v>
      </c>
      <c r="D451" s="18">
        <v>13.9</v>
      </c>
      <c r="E451" s="18">
        <v>13.3</v>
      </c>
      <c r="G451" s="137">
        <f>TRUNC(E451*D451,2)</f>
        <v>184.87</v>
      </c>
      <c r="I451" s="344">
        <v>1.02</v>
      </c>
      <c r="K451" s="172">
        <f t="shared" ref="K451" si="34">TRUNC(G451*I451,2)</f>
        <v>188.56</v>
      </c>
    </row>
    <row r="452" spans="1:12" ht="15" customHeight="1" x14ac:dyDescent="0.2">
      <c r="A452" s="206"/>
      <c r="B452" s="160" t="s">
        <v>588</v>
      </c>
      <c r="C452" s="18">
        <v>2</v>
      </c>
      <c r="D452" s="18">
        <f>3.8*2+3.5</f>
        <v>11.1</v>
      </c>
      <c r="F452" s="18">
        <v>2</v>
      </c>
      <c r="G452" s="18">
        <f>TRUNC(F452*D452,2)</f>
        <v>22.2</v>
      </c>
      <c r="I452" s="344"/>
      <c r="K452" s="172">
        <f>TRUNC(G452*C452)</f>
        <v>44</v>
      </c>
    </row>
    <row r="453" spans="1:12" ht="15" customHeight="1" x14ac:dyDescent="0.2">
      <c r="A453" s="206"/>
      <c r="B453" s="154" t="s">
        <v>47</v>
      </c>
      <c r="C453" s="153"/>
      <c r="D453" s="153"/>
      <c r="E453" s="153"/>
      <c r="F453" s="153"/>
      <c r="G453" s="153"/>
      <c r="H453" s="153"/>
      <c r="I453" s="153"/>
      <c r="J453" s="153"/>
      <c r="K453" s="159">
        <f>SUM(K450:K452)</f>
        <v>306.73</v>
      </c>
      <c r="L453" s="159" t="s">
        <v>5</v>
      </c>
    </row>
    <row r="454" spans="1:12" ht="15" customHeight="1" x14ac:dyDescent="0.2">
      <c r="A454" s="206"/>
      <c r="B454" s="327"/>
      <c r="K454" s="345"/>
      <c r="L454" s="171"/>
    </row>
    <row r="455" spans="1:12" ht="12.75" x14ac:dyDescent="0.2">
      <c r="A455" s="206" t="s">
        <v>719</v>
      </c>
      <c r="B455" s="561" t="str">
        <f>'Planilha Orçamentária'!D102</f>
        <v>Cumeeira para telha de alumínio ondulada, esp. de 0,8 mm, inlcuso acessórios de fixação e içamento</v>
      </c>
      <c r="C455" s="562"/>
      <c r="K455" s="171"/>
      <c r="L455" s="171"/>
    </row>
    <row r="456" spans="1:12" ht="15" customHeight="1" x14ac:dyDescent="0.2">
      <c r="A456" s="206"/>
      <c r="B456" s="160" t="s">
        <v>592</v>
      </c>
      <c r="D456" s="18">
        <v>13.3</v>
      </c>
      <c r="K456" s="143">
        <f>D456</f>
        <v>13.3</v>
      </c>
      <c r="L456" s="171"/>
    </row>
    <row r="457" spans="1:12" ht="15" customHeight="1" x14ac:dyDescent="0.2">
      <c r="A457" s="177"/>
      <c r="B457" s="154" t="s">
        <v>47</v>
      </c>
      <c r="C457" s="153"/>
      <c r="D457" s="153"/>
      <c r="E457" s="153"/>
      <c r="F457" s="153"/>
      <c r="G457" s="153"/>
      <c r="H457" s="153"/>
      <c r="I457" s="153"/>
      <c r="J457" s="153"/>
      <c r="K457" s="159">
        <f>SUM(K454:K456)</f>
        <v>13.3</v>
      </c>
      <c r="L457" s="159" t="s">
        <v>5</v>
      </c>
    </row>
    <row r="458" spans="1:12" ht="15" customHeight="1" x14ac:dyDescent="0.2">
      <c r="A458" s="18"/>
      <c r="K458" s="143"/>
      <c r="L458" s="143"/>
    </row>
    <row r="459" spans="1:12" ht="15" customHeight="1" x14ac:dyDescent="0.2">
      <c r="A459" s="157" t="s">
        <v>720</v>
      </c>
      <c r="B459" s="564" t="str">
        <f>'Planilha Orçamentária'!D105</f>
        <v>INSTALAÇÕES HIDROSSANITÁRIAS</v>
      </c>
      <c r="C459" s="565"/>
      <c r="D459" s="565"/>
      <c r="E459" s="565"/>
      <c r="F459" s="565"/>
      <c r="G459" s="565"/>
      <c r="H459" s="565"/>
      <c r="I459" s="565"/>
      <c r="J459" s="565"/>
      <c r="K459" s="566"/>
      <c r="L459" s="183"/>
    </row>
    <row r="460" spans="1:12" ht="15" customHeight="1" x14ac:dyDescent="0.2">
      <c r="A460" s="157" t="s">
        <v>721</v>
      </c>
      <c r="B460" s="233" t="str">
        <f>'Planilha Orçamentária'!D106</f>
        <v>Aparelhos sanitários</v>
      </c>
      <c r="K460" s="143"/>
      <c r="L460" s="182"/>
    </row>
    <row r="461" spans="1:12" ht="15" customHeight="1" x14ac:dyDescent="0.2">
      <c r="A461" s="206" t="s">
        <v>722</v>
      </c>
      <c r="B461" s="558" t="str">
        <f>'Planilha Orçamentária'!D107</f>
        <v>Bacia sifonada de louça branca com caixa acoplada, inclusive acessórios</v>
      </c>
      <c r="C461" s="559"/>
      <c r="D461" s="559"/>
      <c r="E461" s="559"/>
      <c r="F461" s="559"/>
      <c r="G461" s="559"/>
      <c r="H461" s="559"/>
      <c r="I461" s="559"/>
      <c r="J461" s="559"/>
      <c r="K461" s="560"/>
      <c r="L461" s="173"/>
    </row>
    <row r="462" spans="1:12" ht="15" customHeight="1" x14ac:dyDescent="0.2">
      <c r="A462" s="206"/>
      <c r="B462" s="160" t="s">
        <v>185</v>
      </c>
      <c r="C462" s="18">
        <v>1</v>
      </c>
      <c r="K462" s="143">
        <f>C462</f>
        <v>1</v>
      </c>
      <c r="L462" s="173"/>
    </row>
    <row r="463" spans="1:12" ht="15" customHeight="1" x14ac:dyDescent="0.2">
      <c r="A463" s="206"/>
      <c r="B463" s="160" t="s">
        <v>186</v>
      </c>
      <c r="C463" s="18">
        <v>1</v>
      </c>
      <c r="K463" s="143">
        <v>1</v>
      </c>
      <c r="L463" s="173"/>
    </row>
    <row r="464" spans="1:12" ht="15" customHeight="1" x14ac:dyDescent="0.2">
      <c r="A464" s="206"/>
      <c r="B464" s="154" t="s">
        <v>47</v>
      </c>
      <c r="C464" s="153"/>
      <c r="D464" s="153"/>
      <c r="E464" s="153"/>
      <c r="F464" s="153"/>
      <c r="G464" s="153"/>
      <c r="H464" s="153"/>
      <c r="I464" s="153"/>
      <c r="J464" s="153"/>
      <c r="K464" s="159">
        <f>K462+K463</f>
        <v>2</v>
      </c>
      <c r="L464" s="159" t="s">
        <v>4</v>
      </c>
    </row>
    <row r="465" spans="1:12" ht="15" customHeight="1" x14ac:dyDescent="0.2">
      <c r="A465" s="206"/>
      <c r="B465" s="232"/>
      <c r="K465" s="171"/>
    </row>
    <row r="466" spans="1:12" ht="15" customHeight="1" x14ac:dyDescent="0.2">
      <c r="A466" s="206" t="s">
        <v>723</v>
      </c>
      <c r="B466" s="558" t="str">
        <f>'Planilha Orçamentária'!D108</f>
        <v>Chuveiro elétrico tipo ducha Lorenzet ou Corona</v>
      </c>
      <c r="C466" s="559"/>
      <c r="D466" s="559"/>
      <c r="E466" s="559"/>
      <c r="F466" s="559"/>
      <c r="G466" s="559"/>
      <c r="H466" s="559"/>
      <c r="I466" s="559"/>
      <c r="J466" s="559"/>
      <c r="K466" s="560"/>
    </row>
    <row r="467" spans="1:12" ht="15" customHeight="1" x14ac:dyDescent="0.2">
      <c r="A467" s="206"/>
      <c r="B467" s="160" t="s">
        <v>185</v>
      </c>
      <c r="C467" s="18">
        <v>1</v>
      </c>
      <c r="K467" s="143">
        <f>C467</f>
        <v>1</v>
      </c>
    </row>
    <row r="468" spans="1:12" ht="15" customHeight="1" x14ac:dyDescent="0.2">
      <c r="A468" s="206"/>
      <c r="B468" s="160" t="s">
        <v>186</v>
      </c>
      <c r="C468" s="18">
        <v>1</v>
      </c>
      <c r="K468" s="143">
        <f>C468</f>
        <v>1</v>
      </c>
    </row>
    <row r="469" spans="1:12" ht="15" customHeight="1" x14ac:dyDescent="0.2">
      <c r="A469" s="206"/>
      <c r="B469" s="154" t="s">
        <v>47</v>
      </c>
      <c r="C469" s="153"/>
      <c r="D469" s="153"/>
      <c r="E469" s="153"/>
      <c r="F469" s="153"/>
      <c r="G469" s="153"/>
      <c r="H469" s="153"/>
      <c r="I469" s="153"/>
      <c r="J469" s="153"/>
      <c r="K469" s="159">
        <f>K467+K468</f>
        <v>2</v>
      </c>
      <c r="L469" s="159" t="s">
        <v>4</v>
      </c>
    </row>
    <row r="470" spans="1:12" ht="15" customHeight="1" x14ac:dyDescent="0.2">
      <c r="A470" s="206"/>
      <c r="B470" s="160"/>
      <c r="K470" s="171"/>
    </row>
    <row r="471" spans="1:12" ht="15" customHeight="1" x14ac:dyDescent="0.2">
      <c r="A471" s="206" t="s">
        <v>724</v>
      </c>
      <c r="B471" s="558" t="str">
        <f>'Planilha Orçamentária'!D109</f>
        <v>Registro de gaveta com canopla cromada, diam. 20mm (3/4"), marcas de referência Fabrimar, Deca ou Docol</v>
      </c>
      <c r="C471" s="559"/>
      <c r="D471" s="559"/>
      <c r="E471" s="559"/>
      <c r="F471" s="559"/>
      <c r="G471" s="559"/>
      <c r="H471" s="559"/>
      <c r="I471" s="559"/>
      <c r="J471" s="559"/>
      <c r="K471" s="560"/>
    </row>
    <row r="472" spans="1:12" ht="15" customHeight="1" x14ac:dyDescent="0.2">
      <c r="A472" s="206"/>
      <c r="B472" s="160" t="s">
        <v>185</v>
      </c>
      <c r="C472" s="18">
        <v>1</v>
      </c>
      <c r="K472" s="143">
        <f>C472</f>
        <v>1</v>
      </c>
    </row>
    <row r="473" spans="1:12" ht="15" customHeight="1" x14ac:dyDescent="0.2">
      <c r="A473" s="206"/>
      <c r="B473" s="160" t="s">
        <v>186</v>
      </c>
      <c r="C473" s="18">
        <v>1</v>
      </c>
      <c r="K473" s="143">
        <f>C473</f>
        <v>1</v>
      </c>
    </row>
    <row r="474" spans="1:12" ht="15" customHeight="1" x14ac:dyDescent="0.2">
      <c r="A474" s="206"/>
      <c r="B474" s="154" t="s">
        <v>47</v>
      </c>
      <c r="C474" s="153"/>
      <c r="D474" s="153"/>
      <c r="E474" s="153"/>
      <c r="F474" s="153"/>
      <c r="G474" s="153"/>
      <c r="H474" s="153"/>
      <c r="I474" s="153"/>
      <c r="J474" s="153"/>
      <c r="K474" s="159">
        <f>K472+K473</f>
        <v>2</v>
      </c>
      <c r="L474" s="159" t="s">
        <v>4</v>
      </c>
    </row>
    <row r="475" spans="1:12" ht="15" customHeight="1" x14ac:dyDescent="0.2">
      <c r="A475" s="206"/>
      <c r="B475" s="160"/>
      <c r="K475" s="171"/>
    </row>
    <row r="476" spans="1:12" ht="15" customHeight="1" x14ac:dyDescent="0.2">
      <c r="A476" s="206" t="s">
        <v>725</v>
      </c>
      <c r="B476" s="558" t="str">
        <f>'Planilha Orçamentária'!D110</f>
        <v>Registro de pressão com canopla cromada diam. 20mm (3/4"), marcas de referência Fabrimar, Deca ou Docol</v>
      </c>
      <c r="C476" s="559"/>
      <c r="D476" s="559"/>
      <c r="E476" s="559"/>
      <c r="F476" s="559"/>
      <c r="G476" s="559"/>
      <c r="H476" s="559"/>
      <c r="I476" s="559"/>
      <c r="J476" s="559"/>
      <c r="K476" s="560"/>
    </row>
    <row r="477" spans="1:12" ht="15" customHeight="1" x14ac:dyDescent="0.2">
      <c r="A477" s="206"/>
      <c r="B477" s="160" t="s">
        <v>185</v>
      </c>
      <c r="C477" s="18">
        <v>1</v>
      </c>
      <c r="K477" s="143">
        <f>C477</f>
        <v>1</v>
      </c>
    </row>
    <row r="478" spans="1:12" ht="15" customHeight="1" x14ac:dyDescent="0.2">
      <c r="A478" s="206"/>
      <c r="B478" s="160" t="s">
        <v>186</v>
      </c>
      <c r="C478" s="18">
        <v>1</v>
      </c>
      <c r="K478" s="143">
        <f>C478</f>
        <v>1</v>
      </c>
    </row>
    <row r="479" spans="1:12" ht="15" customHeight="1" x14ac:dyDescent="0.2">
      <c r="A479" s="206"/>
      <c r="B479" s="154" t="s">
        <v>47</v>
      </c>
      <c r="C479" s="153"/>
      <c r="D479" s="153"/>
      <c r="E479" s="153"/>
      <c r="F479" s="153"/>
      <c r="G479" s="153"/>
      <c r="H479" s="153"/>
      <c r="I479" s="153"/>
      <c r="J479" s="153"/>
      <c r="K479" s="159">
        <f>K477+K478</f>
        <v>2</v>
      </c>
      <c r="L479" s="159" t="s">
        <v>4</v>
      </c>
    </row>
    <row r="480" spans="1:12" ht="15" customHeight="1" x14ac:dyDescent="0.2">
      <c r="A480" s="206"/>
      <c r="B480" s="160"/>
      <c r="K480" s="171"/>
    </row>
    <row r="481" spans="1:12" ht="15" customHeight="1" x14ac:dyDescent="0.2">
      <c r="A481" s="206" t="s">
        <v>726</v>
      </c>
      <c r="B481" s="558" t="str">
        <f>'Planilha Orçamentária'!D111</f>
        <v>Kit de acessórios para banheiro em metal cromado, 5 peças, inlcuso fixação</v>
      </c>
      <c r="C481" s="559"/>
      <c r="D481" s="559"/>
      <c r="E481" s="559"/>
      <c r="F481" s="559"/>
      <c r="G481" s="559"/>
      <c r="H481" s="559"/>
      <c r="I481" s="559"/>
      <c r="J481" s="559"/>
      <c r="K481" s="560"/>
    </row>
    <row r="482" spans="1:12" ht="15" customHeight="1" x14ac:dyDescent="0.2">
      <c r="A482" s="206"/>
      <c r="B482" s="160" t="s">
        <v>185</v>
      </c>
      <c r="C482" s="137">
        <v>1</v>
      </c>
      <c r="D482" s="186"/>
      <c r="E482" s="186"/>
      <c r="F482" s="186"/>
      <c r="G482" s="186"/>
      <c r="H482" s="186"/>
      <c r="I482" s="186"/>
      <c r="J482" s="186"/>
      <c r="K482" s="172">
        <f>C482</f>
        <v>1</v>
      </c>
    </row>
    <row r="483" spans="1:12" ht="15" customHeight="1" x14ac:dyDescent="0.2">
      <c r="A483" s="206"/>
      <c r="B483" s="160" t="s">
        <v>186</v>
      </c>
      <c r="C483" s="137">
        <v>1</v>
      </c>
      <c r="D483" s="186"/>
      <c r="E483" s="186"/>
      <c r="F483" s="186"/>
      <c r="G483" s="186"/>
      <c r="H483" s="186"/>
      <c r="I483" s="186"/>
      <c r="J483" s="186"/>
      <c r="K483" s="172">
        <f>C483</f>
        <v>1</v>
      </c>
    </row>
    <row r="484" spans="1:12" ht="15" customHeight="1" x14ac:dyDescent="0.2">
      <c r="A484" s="206"/>
      <c r="B484" s="154" t="s">
        <v>47</v>
      </c>
      <c r="C484" s="153"/>
      <c r="D484" s="153"/>
      <c r="E484" s="153"/>
      <c r="F484" s="153"/>
      <c r="G484" s="153"/>
      <c r="H484" s="153"/>
      <c r="I484" s="153"/>
      <c r="J484" s="153"/>
      <c r="K484" s="159">
        <f>K482+K483</f>
        <v>2</v>
      </c>
      <c r="L484" s="159" t="s">
        <v>4</v>
      </c>
    </row>
    <row r="485" spans="1:12" ht="15" customHeight="1" x14ac:dyDescent="0.2">
      <c r="A485" s="206"/>
      <c r="B485" s="160"/>
      <c r="K485" s="171"/>
    </row>
    <row r="486" spans="1:12" ht="15" customHeight="1" x14ac:dyDescent="0.2">
      <c r="A486" s="206" t="s">
        <v>727</v>
      </c>
      <c r="B486" s="232" t="str">
        <f>'Planilha Orçamentária'!D112</f>
        <v>Tampa para ralo, em aço inox, de 100x100mm</v>
      </c>
      <c r="K486" s="171"/>
    </row>
    <row r="487" spans="1:12" ht="15" customHeight="1" x14ac:dyDescent="0.2">
      <c r="A487" s="206"/>
      <c r="B487" s="160" t="s">
        <v>185</v>
      </c>
      <c r="C487" s="18">
        <v>1</v>
      </c>
      <c r="K487" s="143">
        <f>C487</f>
        <v>1</v>
      </c>
      <c r="L487" s="164"/>
    </row>
    <row r="488" spans="1:12" ht="15" customHeight="1" x14ac:dyDescent="0.2">
      <c r="A488" s="206"/>
      <c r="B488" s="160" t="s">
        <v>186</v>
      </c>
      <c r="C488" s="18">
        <v>1</v>
      </c>
      <c r="K488" s="143">
        <f>C488</f>
        <v>1</v>
      </c>
      <c r="L488" s="164"/>
    </row>
    <row r="489" spans="1:12" ht="15" customHeight="1" x14ac:dyDescent="0.2">
      <c r="A489" s="206"/>
      <c r="B489" s="160" t="s">
        <v>91</v>
      </c>
      <c r="C489" s="18">
        <v>1</v>
      </c>
      <c r="K489" s="143">
        <f>C489</f>
        <v>1</v>
      </c>
      <c r="L489" s="164"/>
    </row>
    <row r="490" spans="1:12" ht="15" customHeight="1" x14ac:dyDescent="0.2">
      <c r="A490" s="206"/>
      <c r="B490" s="154" t="s">
        <v>47</v>
      </c>
      <c r="C490" s="153"/>
      <c r="D490" s="153"/>
      <c r="E490" s="153"/>
      <c r="F490" s="153"/>
      <c r="G490" s="153"/>
      <c r="H490" s="153"/>
      <c r="I490" s="153"/>
      <c r="J490" s="153"/>
      <c r="K490" s="159">
        <f>SUM(K487:K489)</f>
        <v>3</v>
      </c>
      <c r="L490" s="159" t="s">
        <v>4</v>
      </c>
    </row>
    <row r="491" spans="1:12" ht="15" customHeight="1" x14ac:dyDescent="0.2">
      <c r="A491" s="206"/>
      <c r="K491" s="143"/>
    </row>
    <row r="492" spans="1:12" ht="15" customHeight="1" x14ac:dyDescent="0.2">
      <c r="A492" s="206" t="s">
        <v>728</v>
      </c>
      <c r="B492" s="558" t="str">
        <f>'Planilha Orçamentária'!D113</f>
        <v>Cuba louça branca oval, de embutir, Mod. L37, marca de ref. Deca incl. válvula e sifão, exclusive torneira</v>
      </c>
      <c r="C492" s="559"/>
      <c r="D492" s="559"/>
      <c r="E492" s="559"/>
      <c r="F492" s="559"/>
      <c r="G492" s="559"/>
      <c r="H492" s="559"/>
      <c r="I492" s="559"/>
      <c r="J492" s="559"/>
      <c r="K492" s="560"/>
    </row>
    <row r="493" spans="1:12" ht="15" customHeight="1" x14ac:dyDescent="0.2">
      <c r="A493" s="206"/>
      <c r="B493" s="160" t="s">
        <v>185</v>
      </c>
      <c r="C493" s="18">
        <v>1</v>
      </c>
      <c r="K493" s="143">
        <f>C493</f>
        <v>1</v>
      </c>
    </row>
    <row r="494" spans="1:12" ht="15" customHeight="1" x14ac:dyDescent="0.2">
      <c r="A494" s="206"/>
      <c r="B494" s="160" t="s">
        <v>186</v>
      </c>
      <c r="C494" s="18">
        <v>1</v>
      </c>
      <c r="K494" s="143">
        <f>C494</f>
        <v>1</v>
      </c>
    </row>
    <row r="495" spans="1:12" ht="15" customHeight="1" x14ac:dyDescent="0.2">
      <c r="A495" s="206"/>
      <c r="B495" s="154" t="s">
        <v>47</v>
      </c>
      <c r="C495" s="153"/>
      <c r="D495" s="153"/>
      <c r="E495" s="153"/>
      <c r="F495" s="153"/>
      <c r="G495" s="153"/>
      <c r="H495" s="153"/>
      <c r="I495" s="153"/>
      <c r="J495" s="153"/>
      <c r="K495" s="159">
        <f>SUM(K492:K494)</f>
        <v>2</v>
      </c>
      <c r="L495" s="159" t="s">
        <v>4</v>
      </c>
    </row>
    <row r="496" spans="1:12" ht="15" customHeight="1" x14ac:dyDescent="0.2">
      <c r="A496" s="206"/>
      <c r="K496" s="143"/>
    </row>
    <row r="497" spans="1:12" ht="15" customHeight="1" x14ac:dyDescent="0.2">
      <c r="A497" s="206" t="s">
        <v>729</v>
      </c>
      <c r="B497" s="558" t="str">
        <f>'Planilha Orçamentária'!D114</f>
        <v>Cuba de embutir de aço inoxidável média, incluso válvula tipo americana em metal cromado e sifão flexível em PVC -fornecimento e instalação</v>
      </c>
      <c r="C497" s="559"/>
      <c r="D497" s="559"/>
      <c r="E497" s="559"/>
      <c r="F497" s="559"/>
      <c r="G497" s="559"/>
      <c r="H497" s="559"/>
      <c r="I497" s="559"/>
      <c r="J497" s="559"/>
      <c r="K497" s="560"/>
    </row>
    <row r="498" spans="1:12" ht="15" customHeight="1" x14ac:dyDescent="0.2">
      <c r="A498" s="206"/>
      <c r="B498" s="160" t="s">
        <v>91</v>
      </c>
      <c r="C498" s="18">
        <v>1</v>
      </c>
      <c r="K498" s="143">
        <f>C498</f>
        <v>1</v>
      </c>
    </row>
    <row r="499" spans="1:12" ht="15" customHeight="1" x14ac:dyDescent="0.2">
      <c r="A499" s="206"/>
      <c r="B499" s="154" t="s">
        <v>47</v>
      </c>
      <c r="C499" s="153"/>
      <c r="D499" s="153"/>
      <c r="E499" s="153"/>
      <c r="F499" s="153"/>
      <c r="G499" s="153"/>
      <c r="H499" s="153"/>
      <c r="I499" s="153"/>
      <c r="J499" s="153"/>
      <c r="K499" s="159">
        <f>K498</f>
        <v>1</v>
      </c>
      <c r="L499" s="159" t="s">
        <v>4</v>
      </c>
    </row>
    <row r="500" spans="1:12" ht="15" customHeight="1" x14ac:dyDescent="0.2">
      <c r="A500" s="206"/>
      <c r="K500" s="143"/>
    </row>
    <row r="501" spans="1:12" ht="15" customHeight="1" x14ac:dyDescent="0.2">
      <c r="A501" s="206" t="s">
        <v>730</v>
      </c>
      <c r="B501" s="558" t="str">
        <f>'Planilha Orçamentária'!D115</f>
        <v>Bancada de granito com espessura de 2 cm</v>
      </c>
      <c r="C501" s="559"/>
      <c r="D501" s="559"/>
      <c r="E501" s="559"/>
      <c r="F501" s="559"/>
      <c r="G501" s="559"/>
      <c r="H501" s="559"/>
      <c r="I501" s="559"/>
      <c r="J501" s="559"/>
      <c r="K501" s="560"/>
    </row>
    <row r="502" spans="1:12" ht="15" customHeight="1" x14ac:dyDescent="0.2">
      <c r="A502" s="206"/>
      <c r="B502" s="160" t="s">
        <v>91</v>
      </c>
      <c r="D502" s="18">
        <v>1.7</v>
      </c>
      <c r="E502" s="18">
        <v>0.6</v>
      </c>
      <c r="G502" s="18">
        <f>TRUNC(E502*D502,2)</f>
        <v>1.02</v>
      </c>
      <c r="K502" s="143">
        <f>G502</f>
        <v>1.02</v>
      </c>
    </row>
    <row r="503" spans="1:12" ht="15" customHeight="1" x14ac:dyDescent="0.2">
      <c r="A503" s="206"/>
      <c r="B503" s="160" t="s">
        <v>185</v>
      </c>
      <c r="D503" s="18">
        <v>0.8</v>
      </c>
      <c r="E503" s="18">
        <v>0.47</v>
      </c>
      <c r="G503" s="18">
        <f t="shared" ref="G503:G504" si="35">TRUNC(E503*D503,2)</f>
        <v>0.37</v>
      </c>
      <c r="K503" s="143">
        <f>G503</f>
        <v>0.37</v>
      </c>
    </row>
    <row r="504" spans="1:12" ht="15" customHeight="1" x14ac:dyDescent="0.2">
      <c r="A504" s="206"/>
      <c r="B504" s="160" t="s">
        <v>186</v>
      </c>
      <c r="D504" s="18">
        <v>0.8</v>
      </c>
      <c r="E504" s="18">
        <v>0.47</v>
      </c>
      <c r="G504" s="18">
        <f t="shared" si="35"/>
        <v>0.37</v>
      </c>
      <c r="K504" s="143">
        <f>G504</f>
        <v>0.37</v>
      </c>
    </row>
    <row r="505" spans="1:12" ht="15" customHeight="1" x14ac:dyDescent="0.2">
      <c r="A505" s="206"/>
      <c r="B505" s="154" t="s">
        <v>47</v>
      </c>
      <c r="C505" s="153"/>
      <c r="D505" s="153"/>
      <c r="E505" s="153"/>
      <c r="F505" s="153"/>
      <c r="G505" s="153"/>
      <c r="H505" s="153"/>
      <c r="I505" s="153"/>
      <c r="J505" s="153"/>
      <c r="K505" s="159">
        <f>SUM(K502:K504)</f>
        <v>1.7600000000000002</v>
      </c>
      <c r="L505" s="159" t="s">
        <v>6</v>
      </c>
    </row>
    <row r="506" spans="1:12" ht="15" customHeight="1" x14ac:dyDescent="0.2">
      <c r="A506" s="206"/>
      <c r="B506" s="160"/>
      <c r="K506" s="143"/>
    </row>
    <row r="507" spans="1:12" ht="15" customHeight="1" x14ac:dyDescent="0.2">
      <c r="A507" s="206" t="s">
        <v>731</v>
      </c>
      <c r="B507" s="558" t="str">
        <f>'Planilha Orçamentária'!D116</f>
        <v>Torneira cromada de mesa, 1/2" ou 3/4", para lavatório, padrão popular - fornecimento e instalação</v>
      </c>
      <c r="C507" s="559"/>
      <c r="D507" s="559"/>
      <c r="E507" s="559"/>
      <c r="F507" s="559"/>
      <c r="G507" s="559"/>
      <c r="H507" s="559"/>
      <c r="I507" s="559"/>
      <c r="J507" s="559"/>
      <c r="K507" s="560"/>
      <c r="L507" s="173"/>
    </row>
    <row r="508" spans="1:12" ht="15" customHeight="1" x14ac:dyDescent="0.2">
      <c r="A508" s="206"/>
      <c r="B508" s="160" t="s">
        <v>185</v>
      </c>
      <c r="C508" s="137">
        <v>1</v>
      </c>
      <c r="D508" s="186"/>
      <c r="E508" s="186"/>
      <c r="F508" s="186"/>
      <c r="G508" s="186"/>
      <c r="H508" s="186"/>
      <c r="I508" s="186"/>
      <c r="J508" s="186"/>
      <c r="K508" s="172">
        <f>C508</f>
        <v>1</v>
      </c>
    </row>
    <row r="509" spans="1:12" ht="15" customHeight="1" x14ac:dyDescent="0.2">
      <c r="A509" s="206"/>
      <c r="B509" s="160" t="s">
        <v>186</v>
      </c>
      <c r="C509" s="137">
        <v>1</v>
      </c>
      <c r="D509" s="186"/>
      <c r="E509" s="186"/>
      <c r="F509" s="186"/>
      <c r="G509" s="186"/>
      <c r="H509" s="186"/>
      <c r="I509" s="186"/>
      <c r="J509" s="186"/>
      <c r="K509" s="172">
        <f>C509</f>
        <v>1</v>
      </c>
    </row>
    <row r="510" spans="1:12" ht="15" customHeight="1" x14ac:dyDescent="0.2">
      <c r="A510" s="206"/>
      <c r="B510" s="154" t="s">
        <v>47</v>
      </c>
      <c r="C510" s="153"/>
      <c r="D510" s="153"/>
      <c r="E510" s="153"/>
      <c r="F510" s="153"/>
      <c r="G510" s="153"/>
      <c r="H510" s="153"/>
      <c r="I510" s="153"/>
      <c r="J510" s="153"/>
      <c r="K510" s="159">
        <f>K508+K509</f>
        <v>2</v>
      </c>
      <c r="L510" s="159" t="s">
        <v>4</v>
      </c>
    </row>
    <row r="511" spans="1:12" ht="15" customHeight="1" x14ac:dyDescent="0.2">
      <c r="A511" s="206"/>
      <c r="B511" s="160"/>
      <c r="K511" s="143"/>
    </row>
    <row r="512" spans="1:12" ht="15" customHeight="1" x14ac:dyDescent="0.2">
      <c r="A512" s="206" t="s">
        <v>732</v>
      </c>
      <c r="B512" s="558" t="str">
        <f>'Planilha Orçamentária'!D117</f>
        <v>Torneira cromada tubo móvel, de mesa, 1/2" ou 3/4", para pia de cozinha, padrão alto - fornecimento e instalação</v>
      </c>
      <c r="C512" s="559"/>
      <c r="D512" s="559"/>
      <c r="E512" s="559"/>
      <c r="F512" s="559"/>
      <c r="G512" s="559"/>
      <c r="H512" s="559"/>
      <c r="I512" s="559"/>
      <c r="J512" s="559"/>
      <c r="K512" s="560"/>
      <c r="L512" s="173"/>
    </row>
    <row r="513" spans="1:12" ht="15" customHeight="1" x14ac:dyDescent="0.2">
      <c r="A513" s="206"/>
      <c r="B513" s="160" t="s">
        <v>91</v>
      </c>
      <c r="C513" s="137">
        <v>1</v>
      </c>
      <c r="D513" s="186"/>
      <c r="E513" s="186"/>
      <c r="F513" s="186"/>
      <c r="G513" s="186"/>
      <c r="H513" s="186"/>
      <c r="I513" s="186"/>
      <c r="J513" s="186"/>
      <c r="K513" s="172">
        <f>C513</f>
        <v>1</v>
      </c>
    </row>
    <row r="514" spans="1:12" ht="15" customHeight="1" x14ac:dyDescent="0.2">
      <c r="A514" s="206"/>
      <c r="B514" s="154" t="s">
        <v>47</v>
      </c>
      <c r="C514" s="153"/>
      <c r="D514" s="153"/>
      <c r="E514" s="153"/>
      <c r="F514" s="153"/>
      <c r="G514" s="153"/>
      <c r="H514" s="153"/>
      <c r="I514" s="153"/>
      <c r="J514" s="153"/>
      <c r="K514" s="159">
        <f>K513</f>
        <v>1</v>
      </c>
      <c r="L514" s="159" t="s">
        <v>4</v>
      </c>
    </row>
    <row r="515" spans="1:12" ht="15" customHeight="1" x14ac:dyDescent="0.2">
      <c r="A515" s="206"/>
      <c r="K515" s="143"/>
    </row>
    <row r="516" spans="1:12" ht="15" customHeight="1" x14ac:dyDescent="0.2">
      <c r="A516" s="206" t="s">
        <v>831</v>
      </c>
      <c r="B516" s="232" t="str">
        <f>'Planilha Orçamentária'!D118</f>
        <v>Tanque em mármore sintético com 2 bojos, inclusive válvula e sifão em PVC</v>
      </c>
      <c r="K516" s="143"/>
    </row>
    <row r="517" spans="1:12" ht="15" customHeight="1" x14ac:dyDescent="0.2">
      <c r="A517" s="206"/>
      <c r="B517" s="160" t="s">
        <v>188</v>
      </c>
      <c r="C517" s="18">
        <v>1</v>
      </c>
      <c r="K517" s="143">
        <v>1</v>
      </c>
    </row>
    <row r="518" spans="1:12" ht="15" customHeight="1" x14ac:dyDescent="0.2">
      <c r="A518" s="206"/>
      <c r="B518" s="154" t="s">
        <v>47</v>
      </c>
      <c r="C518" s="153"/>
      <c r="D518" s="153"/>
      <c r="E518" s="153"/>
      <c r="F518" s="153"/>
      <c r="G518" s="153"/>
      <c r="H518" s="153"/>
      <c r="I518" s="153"/>
      <c r="J518" s="153"/>
      <c r="K518" s="159">
        <f>K517</f>
        <v>1</v>
      </c>
      <c r="L518" s="159" t="s">
        <v>4</v>
      </c>
    </row>
    <row r="519" spans="1:12" ht="15" customHeight="1" x14ac:dyDescent="0.2">
      <c r="A519" s="206"/>
      <c r="K519" s="143"/>
    </row>
    <row r="520" spans="1:12" ht="15" customHeight="1" x14ac:dyDescent="0.2">
      <c r="A520" s="206" t="s">
        <v>833</v>
      </c>
      <c r="B520" s="232" t="str">
        <f>'Planilha Orçamentária'!D119</f>
        <v>Torneira para tanque, marcas de referência Fabrimar, Deca ou Docol</v>
      </c>
      <c r="K520" s="143"/>
    </row>
    <row r="521" spans="1:12" ht="15" customHeight="1" x14ac:dyDescent="0.2">
      <c r="A521" s="157"/>
      <c r="B521" s="175" t="s">
        <v>188</v>
      </c>
      <c r="C521" s="18">
        <v>2</v>
      </c>
      <c r="K521" s="143">
        <v>2</v>
      </c>
    </row>
    <row r="522" spans="1:12" ht="15" customHeight="1" x14ac:dyDescent="0.2">
      <c r="A522" s="157"/>
      <c r="B522" s="154" t="s">
        <v>47</v>
      </c>
      <c r="C522" s="153"/>
      <c r="D522" s="153"/>
      <c r="E522" s="153"/>
      <c r="F522" s="153"/>
      <c r="G522" s="153"/>
      <c r="H522" s="153"/>
      <c r="I522" s="153"/>
      <c r="J522" s="153"/>
      <c r="K522" s="159">
        <f>K521</f>
        <v>2</v>
      </c>
      <c r="L522" s="159" t="s">
        <v>4</v>
      </c>
    </row>
    <row r="523" spans="1:12" ht="15" customHeight="1" x14ac:dyDescent="0.2">
      <c r="A523" s="157"/>
      <c r="B523" s="233"/>
      <c r="C523" s="234"/>
      <c r="D523" s="234"/>
      <c r="E523" s="234"/>
      <c r="F523" s="234"/>
      <c r="G523" s="234"/>
      <c r="H523" s="234"/>
      <c r="I523" s="299"/>
      <c r="J523" s="299"/>
      <c r="K523" s="235"/>
      <c r="L523" s="180"/>
    </row>
    <row r="524" spans="1:12" ht="15" customHeight="1" x14ac:dyDescent="0.2">
      <c r="A524" s="157" t="s">
        <v>733</v>
      </c>
      <c r="B524" s="233" t="str">
        <f>'Planilha Orçamentária'!D120</f>
        <v>Caixas, tubos e conexões</v>
      </c>
      <c r="C524" s="234"/>
      <c r="D524" s="234"/>
      <c r="E524" s="234"/>
      <c r="F524" s="234"/>
      <c r="G524" s="234"/>
      <c r="H524" s="234"/>
      <c r="I524" s="299"/>
      <c r="J524" s="299"/>
      <c r="K524" s="235"/>
      <c r="L524" s="180"/>
    </row>
    <row r="525" spans="1:12" ht="15" customHeight="1" x14ac:dyDescent="0.2">
      <c r="A525" s="379" t="s">
        <v>735</v>
      </c>
      <c r="B525" s="558" t="str">
        <f>'Planilha Orçamentária'!D121</f>
        <v>Tubo de PVC rígido soldável marrom, diâm. 20mm (1/2"), inclusive conexões</v>
      </c>
      <c r="C525" s="559"/>
      <c r="D525" s="559"/>
      <c r="E525" s="559"/>
      <c r="F525" s="559"/>
      <c r="G525" s="559"/>
      <c r="H525" s="559"/>
      <c r="I525" s="559"/>
      <c r="J525" s="559"/>
      <c r="K525" s="560"/>
      <c r="L525" s="173"/>
    </row>
    <row r="526" spans="1:12" ht="15" customHeight="1" x14ac:dyDescent="0.2">
      <c r="A526" s="379"/>
      <c r="B526" s="160" t="s">
        <v>594</v>
      </c>
      <c r="D526" s="18">
        <v>21.76</v>
      </c>
      <c r="K526" s="143">
        <f>D526</f>
        <v>21.76</v>
      </c>
      <c r="L526" s="173"/>
    </row>
    <row r="527" spans="1:12" ht="15" customHeight="1" x14ac:dyDescent="0.2">
      <c r="A527" s="379"/>
      <c r="B527" s="154" t="s">
        <v>47</v>
      </c>
      <c r="C527" s="153"/>
      <c r="D527" s="153"/>
      <c r="E527" s="153"/>
      <c r="F527" s="153"/>
      <c r="G527" s="153"/>
      <c r="H527" s="153"/>
      <c r="I527" s="153"/>
      <c r="J527" s="153"/>
      <c r="K527" s="159">
        <f>SUM(K526,K525)</f>
        <v>21.76</v>
      </c>
      <c r="L527" s="159" t="s">
        <v>5</v>
      </c>
    </row>
    <row r="528" spans="1:12" ht="15" customHeight="1" x14ac:dyDescent="0.2">
      <c r="A528" s="379"/>
      <c r="B528" s="338"/>
      <c r="K528" s="171"/>
      <c r="L528" s="173"/>
    </row>
    <row r="529" spans="1:12" ht="15" customHeight="1" x14ac:dyDescent="0.2">
      <c r="A529" s="379" t="s">
        <v>734</v>
      </c>
      <c r="B529" s="558" t="str">
        <f>'Planilha Orçamentária'!D122</f>
        <v>Tubo de PVC rígido soldável branco, para esgoto, diâmetro 40mm (1 1/2"), inclusive conexões</v>
      </c>
      <c r="C529" s="559"/>
      <c r="D529" s="559"/>
      <c r="E529" s="559"/>
      <c r="F529" s="559"/>
      <c r="G529" s="559"/>
      <c r="H529" s="559"/>
      <c r="I529" s="559"/>
      <c r="J529" s="559"/>
      <c r="K529" s="560"/>
      <c r="L529" s="173"/>
    </row>
    <row r="530" spans="1:12" ht="15" customHeight="1" x14ac:dyDescent="0.2">
      <c r="A530" s="379"/>
      <c r="B530" s="160" t="s">
        <v>595</v>
      </c>
      <c r="D530" s="18">
        <v>0.72</v>
      </c>
      <c r="K530" s="143">
        <f>D530</f>
        <v>0.72</v>
      </c>
      <c r="L530" s="173"/>
    </row>
    <row r="531" spans="1:12" ht="15" customHeight="1" x14ac:dyDescent="0.2">
      <c r="A531" s="379"/>
      <c r="B531" s="154" t="s">
        <v>47</v>
      </c>
      <c r="C531" s="153"/>
      <c r="D531" s="153"/>
      <c r="E531" s="153"/>
      <c r="F531" s="153"/>
      <c r="G531" s="153"/>
      <c r="H531" s="153"/>
      <c r="I531" s="153"/>
      <c r="J531" s="153"/>
      <c r="K531" s="159">
        <f>SUM(K530,K529)</f>
        <v>0.72</v>
      </c>
      <c r="L531" s="159" t="s">
        <v>5</v>
      </c>
    </row>
    <row r="532" spans="1:12" ht="15" customHeight="1" x14ac:dyDescent="0.2">
      <c r="A532" s="379"/>
      <c r="B532" s="160"/>
      <c r="K532" s="171"/>
      <c r="L532" s="173"/>
    </row>
    <row r="533" spans="1:12" ht="15" customHeight="1" x14ac:dyDescent="0.2">
      <c r="A533" s="379" t="s">
        <v>736</v>
      </c>
      <c r="B533" s="558" t="str">
        <f>'Planilha Orçamentária'!D123</f>
        <v>Tubo de PVC rígido soldável branco, para esgoto, diâmetro 50mm (2"), inclusive conexões</v>
      </c>
      <c r="C533" s="559"/>
      <c r="D533" s="559"/>
      <c r="E533" s="559"/>
      <c r="F533" s="559"/>
      <c r="G533" s="559"/>
      <c r="H533" s="559"/>
      <c r="I533" s="559"/>
      <c r="J533" s="559"/>
      <c r="K533" s="560"/>
      <c r="L533" s="173"/>
    </row>
    <row r="534" spans="1:12" ht="15" customHeight="1" x14ac:dyDescent="0.2">
      <c r="A534" s="379"/>
      <c r="B534" s="160" t="s">
        <v>595</v>
      </c>
      <c r="D534" s="18">
        <v>17.09</v>
      </c>
      <c r="K534" s="143">
        <f>D534</f>
        <v>17.09</v>
      </c>
      <c r="L534" s="173"/>
    </row>
    <row r="535" spans="1:12" ht="15" customHeight="1" x14ac:dyDescent="0.2">
      <c r="A535" s="379"/>
      <c r="B535" s="154" t="s">
        <v>47</v>
      </c>
      <c r="C535" s="153"/>
      <c r="D535" s="153"/>
      <c r="E535" s="153"/>
      <c r="F535" s="153"/>
      <c r="G535" s="153"/>
      <c r="H535" s="153"/>
      <c r="I535" s="153"/>
      <c r="J535" s="153"/>
      <c r="K535" s="159">
        <f>SUM(K534,K533)</f>
        <v>17.09</v>
      </c>
      <c r="L535" s="159" t="s">
        <v>5</v>
      </c>
    </row>
    <row r="536" spans="1:12" ht="15" customHeight="1" x14ac:dyDescent="0.2">
      <c r="A536" s="379"/>
      <c r="B536" s="160"/>
      <c r="K536" s="171"/>
      <c r="L536" s="173"/>
    </row>
    <row r="537" spans="1:12" ht="15" customHeight="1" x14ac:dyDescent="0.2">
      <c r="A537" s="379" t="s">
        <v>737</v>
      </c>
      <c r="B537" s="558" t="str">
        <f>'Planilha Orçamentária'!D124</f>
        <v>Tubo de PVC rígido soldável branco, para esgoto, diâmetro 75mm (3"), inclusive conexões</v>
      </c>
      <c r="C537" s="559"/>
      <c r="D537" s="559"/>
      <c r="E537" s="559"/>
      <c r="F537" s="559"/>
      <c r="G537" s="559"/>
      <c r="H537" s="559"/>
      <c r="I537" s="559"/>
      <c r="J537" s="559"/>
      <c r="K537" s="560"/>
      <c r="L537" s="173"/>
    </row>
    <row r="538" spans="1:12" ht="15" customHeight="1" x14ac:dyDescent="0.2">
      <c r="A538" s="379"/>
      <c r="B538" s="160" t="s">
        <v>595</v>
      </c>
      <c r="D538" s="18">
        <v>7.1</v>
      </c>
      <c r="K538" s="143">
        <f>D538</f>
        <v>7.1</v>
      </c>
      <c r="L538" s="173"/>
    </row>
    <row r="539" spans="1:12" ht="15" customHeight="1" x14ac:dyDescent="0.2">
      <c r="A539" s="379"/>
      <c r="B539" s="154" t="s">
        <v>47</v>
      </c>
      <c r="C539" s="153"/>
      <c r="D539" s="153"/>
      <c r="E539" s="153"/>
      <c r="F539" s="153"/>
      <c r="G539" s="153"/>
      <c r="H539" s="153"/>
      <c r="I539" s="153"/>
      <c r="J539" s="153"/>
      <c r="K539" s="159">
        <f>SUM(K538,K537)</f>
        <v>7.1</v>
      </c>
      <c r="L539" s="159" t="s">
        <v>5</v>
      </c>
    </row>
    <row r="540" spans="1:12" ht="15" customHeight="1" x14ac:dyDescent="0.2">
      <c r="A540" s="379"/>
      <c r="B540" s="160"/>
      <c r="K540" s="171"/>
      <c r="L540" s="173"/>
    </row>
    <row r="541" spans="1:12" ht="15" customHeight="1" x14ac:dyDescent="0.2">
      <c r="A541" s="379" t="s">
        <v>738</v>
      </c>
      <c r="B541" s="558" t="str">
        <f>'Planilha Orçamentária'!D125</f>
        <v>Tubo de PVC rígido soldável branco, para esgoto, diâmetro 100mm (4"), inclusive conexões</v>
      </c>
      <c r="C541" s="559"/>
      <c r="D541" s="559"/>
      <c r="E541" s="559"/>
      <c r="F541" s="559"/>
      <c r="G541" s="559"/>
      <c r="H541" s="559"/>
      <c r="I541" s="559"/>
      <c r="J541" s="559"/>
      <c r="K541" s="560"/>
      <c r="L541" s="173"/>
    </row>
    <row r="542" spans="1:12" ht="15" customHeight="1" x14ac:dyDescent="0.2">
      <c r="A542" s="379"/>
      <c r="B542" s="160" t="s">
        <v>595</v>
      </c>
      <c r="D542" s="18">
        <v>14.45</v>
      </c>
      <c r="K542" s="143">
        <f>D542</f>
        <v>14.45</v>
      </c>
      <c r="L542" s="173"/>
    </row>
    <row r="543" spans="1:12" ht="15" customHeight="1" x14ac:dyDescent="0.2">
      <c r="A543" s="379"/>
      <c r="B543" s="154" t="s">
        <v>47</v>
      </c>
      <c r="C543" s="153"/>
      <c r="D543" s="153"/>
      <c r="E543" s="153"/>
      <c r="F543" s="153"/>
      <c r="G543" s="153"/>
      <c r="H543" s="153"/>
      <c r="I543" s="153"/>
      <c r="J543" s="153"/>
      <c r="K543" s="159">
        <f>SUM(K542,K541)</f>
        <v>14.45</v>
      </c>
      <c r="L543" s="159" t="s">
        <v>5</v>
      </c>
    </row>
    <row r="544" spans="1:12" ht="15" customHeight="1" x14ac:dyDescent="0.2">
      <c r="A544" s="379"/>
      <c r="B544" s="160"/>
      <c r="K544" s="171"/>
      <c r="L544" s="173"/>
    </row>
    <row r="545" spans="1:12" ht="15" customHeight="1" x14ac:dyDescent="0.2">
      <c r="A545" s="379" t="s">
        <v>739</v>
      </c>
      <c r="B545" s="558" t="str">
        <f>'Planilha Orçamentária'!D126</f>
        <v>Ralo seco, PVC, DN 100x40 mm, junta soldável, fornecido e instalado em ramal de descarga ou em ramal de esgoto sanitário</v>
      </c>
      <c r="C545" s="559"/>
      <c r="D545" s="559"/>
      <c r="E545" s="559"/>
      <c r="F545" s="559"/>
      <c r="G545" s="559"/>
      <c r="H545" s="559"/>
      <c r="I545" s="559"/>
      <c r="J545" s="559"/>
      <c r="K545" s="560"/>
      <c r="L545" s="173"/>
    </row>
    <row r="546" spans="1:12" ht="15" customHeight="1" x14ac:dyDescent="0.2">
      <c r="A546" s="379"/>
      <c r="B546" s="160" t="s">
        <v>595</v>
      </c>
      <c r="C546" s="18">
        <v>3</v>
      </c>
      <c r="K546" s="143">
        <f>C546</f>
        <v>3</v>
      </c>
      <c r="L546" s="173"/>
    </row>
    <row r="547" spans="1:12" ht="15" customHeight="1" x14ac:dyDescent="0.2">
      <c r="A547" s="379"/>
      <c r="B547" s="154" t="s">
        <v>47</v>
      </c>
      <c r="C547" s="153"/>
      <c r="D547" s="153"/>
      <c r="E547" s="153"/>
      <c r="F547" s="153"/>
      <c r="G547" s="153"/>
      <c r="H547" s="153"/>
      <c r="I547" s="153"/>
      <c r="J547" s="153"/>
      <c r="K547" s="159">
        <f>SUM(K546,K545)</f>
        <v>3</v>
      </c>
      <c r="L547" s="159" t="s">
        <v>4</v>
      </c>
    </row>
    <row r="548" spans="1:12" ht="15" customHeight="1" x14ac:dyDescent="0.2">
      <c r="A548" s="379"/>
      <c r="B548" s="160"/>
      <c r="K548" s="171"/>
      <c r="L548" s="173"/>
    </row>
    <row r="549" spans="1:12" ht="15" customHeight="1" x14ac:dyDescent="0.2">
      <c r="A549" s="379" t="s">
        <v>740</v>
      </c>
      <c r="B549" s="558" t="str">
        <f>'Planilha Orçamentária'!D127</f>
        <v>Caixa sifonada em PVC, diâm. 150mm, com grelha e porta grelha quadrados, em aço inox</v>
      </c>
      <c r="C549" s="559"/>
      <c r="D549" s="559"/>
      <c r="E549" s="559"/>
      <c r="F549" s="559"/>
      <c r="G549" s="559"/>
      <c r="H549" s="559"/>
      <c r="I549" s="559"/>
      <c r="J549" s="559"/>
      <c r="K549" s="560"/>
      <c r="L549" s="173"/>
    </row>
    <row r="550" spans="1:12" ht="15" customHeight="1" x14ac:dyDescent="0.2">
      <c r="A550" s="379"/>
      <c r="B550" s="160" t="s">
        <v>185</v>
      </c>
      <c r="C550" s="18">
        <v>1</v>
      </c>
      <c r="K550" s="143">
        <f>C550</f>
        <v>1</v>
      </c>
      <c r="L550" s="173"/>
    </row>
    <row r="551" spans="1:12" ht="15" customHeight="1" x14ac:dyDescent="0.2">
      <c r="A551" s="379"/>
      <c r="B551" s="160" t="s">
        <v>186</v>
      </c>
      <c r="C551" s="18">
        <v>1</v>
      </c>
      <c r="K551" s="143">
        <f>C551</f>
        <v>1</v>
      </c>
      <c r="L551" s="173"/>
    </row>
    <row r="552" spans="1:12" ht="15" customHeight="1" x14ac:dyDescent="0.2">
      <c r="A552" s="379"/>
      <c r="B552" s="154" t="s">
        <v>47</v>
      </c>
      <c r="C552" s="153"/>
      <c r="D552" s="153"/>
      <c r="E552" s="153"/>
      <c r="F552" s="153"/>
      <c r="G552" s="153"/>
      <c r="H552" s="153"/>
      <c r="I552" s="153"/>
      <c r="J552" s="153"/>
      <c r="K552" s="159">
        <f>SUM(K550:K551)</f>
        <v>2</v>
      </c>
      <c r="L552" s="159" t="s">
        <v>4</v>
      </c>
    </row>
    <row r="553" spans="1:12" ht="15" customHeight="1" x14ac:dyDescent="0.2">
      <c r="A553" s="379"/>
      <c r="B553" s="160"/>
      <c r="K553" s="171"/>
      <c r="L553" s="173"/>
    </row>
    <row r="554" spans="1:12" ht="24" customHeight="1" x14ac:dyDescent="0.2">
      <c r="A554" s="379" t="s">
        <v>741</v>
      </c>
      <c r="B554" s="558" t="str">
        <f>'Planilha Orçamentária'!D128</f>
        <v>Caixa de gordura de alv. bloco concreto 9x19x39cm, dim.60x60cm e Hmáx=1m, com tampa em concreto esp.5cm, lastro
concreto esp.10cm, revestida intern. c/ chapisco e reboco impermeab, escavação, reaterro e parede interna em concreto</v>
      </c>
      <c r="C554" s="559"/>
      <c r="D554" s="559"/>
      <c r="E554" s="559"/>
      <c r="F554" s="559"/>
      <c r="G554" s="559"/>
      <c r="H554" s="559"/>
      <c r="I554" s="559"/>
      <c r="J554" s="559"/>
      <c r="K554" s="560"/>
      <c r="L554" s="173"/>
    </row>
    <row r="555" spans="1:12" ht="15" customHeight="1" x14ac:dyDescent="0.2">
      <c r="A555" s="379"/>
      <c r="B555" s="160" t="s">
        <v>595</v>
      </c>
      <c r="C555" s="18">
        <v>1</v>
      </c>
      <c r="K555" s="143">
        <f>C555</f>
        <v>1</v>
      </c>
      <c r="L555" s="173"/>
    </row>
    <row r="556" spans="1:12" ht="15" customHeight="1" x14ac:dyDescent="0.2">
      <c r="A556" s="379"/>
      <c r="B556" s="154" t="s">
        <v>47</v>
      </c>
      <c r="C556" s="153"/>
      <c r="D556" s="153"/>
      <c r="E556" s="153"/>
      <c r="F556" s="153"/>
      <c r="G556" s="153"/>
      <c r="H556" s="153"/>
      <c r="I556" s="153"/>
      <c r="J556" s="153"/>
      <c r="K556" s="159">
        <f>SUM(K555,K554)</f>
        <v>1</v>
      </c>
      <c r="L556" s="159" t="s">
        <v>4</v>
      </c>
    </row>
    <row r="557" spans="1:12" ht="15" customHeight="1" x14ac:dyDescent="0.2">
      <c r="A557" s="379"/>
      <c r="B557" s="160"/>
      <c r="K557" s="171"/>
      <c r="L557" s="173"/>
    </row>
    <row r="558" spans="1:12" ht="22.5" customHeight="1" x14ac:dyDescent="0.2">
      <c r="A558" s="379" t="s">
        <v>742</v>
      </c>
      <c r="B558" s="558" t="str">
        <f>'Planilha Orçamentária'!D129</f>
        <v>Caixa de inspeção em alv. bloco concreto 9x19x39cm, dim. 60x60cm e Hmáx=1m, c/ tampa de ferro fundido 40x40cm,
lastro de concreto esp.10cm, revest. interno c/ chapisco e reboco impermeabiliz, incl. escavação, reaterro e enchimento</v>
      </c>
      <c r="C558" s="559"/>
      <c r="D558" s="559"/>
      <c r="E558" s="559"/>
      <c r="F558" s="559"/>
      <c r="G558" s="559"/>
      <c r="H558" s="559"/>
      <c r="I558" s="559"/>
      <c r="J558" s="559"/>
      <c r="K558" s="560"/>
      <c r="L558" s="173"/>
    </row>
    <row r="559" spans="1:12" ht="15" customHeight="1" x14ac:dyDescent="0.2">
      <c r="A559" s="379"/>
      <c r="B559" s="160" t="s">
        <v>595</v>
      </c>
      <c r="C559" s="18">
        <v>1</v>
      </c>
      <c r="K559" s="143">
        <f>C559</f>
        <v>1</v>
      </c>
      <c r="L559" s="173"/>
    </row>
    <row r="560" spans="1:12" ht="15" customHeight="1" x14ac:dyDescent="0.2">
      <c r="A560" s="379"/>
      <c r="B560" s="154" t="s">
        <v>47</v>
      </c>
      <c r="C560" s="153"/>
      <c r="D560" s="153"/>
      <c r="E560" s="153"/>
      <c r="F560" s="153"/>
      <c r="G560" s="153"/>
      <c r="H560" s="153"/>
      <c r="I560" s="153"/>
      <c r="J560" s="153"/>
      <c r="K560" s="159">
        <f>SUM(K559,K558)</f>
        <v>1</v>
      </c>
      <c r="L560" s="159" t="s">
        <v>4</v>
      </c>
    </row>
    <row r="561" spans="1:12" ht="15" customHeight="1" x14ac:dyDescent="0.2">
      <c r="A561" s="379"/>
      <c r="B561" s="160"/>
      <c r="K561" s="143"/>
    </row>
    <row r="562" spans="1:12" ht="15" customHeight="1" x14ac:dyDescent="0.2">
      <c r="A562" s="379" t="s">
        <v>743</v>
      </c>
      <c r="B562" s="558" t="str">
        <f>'Planilha Orçamentária'!D130</f>
        <v xml:space="preserve">Caixa d´água em polietileno, 2000 litros - inclusive acessórios e conexões </v>
      </c>
      <c r="C562" s="559"/>
      <c r="D562" s="559"/>
      <c r="E562" s="559"/>
      <c r="F562" s="559"/>
      <c r="G562" s="559"/>
      <c r="H562" s="559"/>
      <c r="I562" s="559"/>
      <c r="J562" s="559"/>
      <c r="K562" s="560"/>
    </row>
    <row r="563" spans="1:12" ht="15" customHeight="1" x14ac:dyDescent="0.2">
      <c r="A563" s="379"/>
      <c r="B563" s="160" t="s">
        <v>683</v>
      </c>
      <c r="C563" s="137">
        <v>1</v>
      </c>
      <c r="D563" s="229"/>
      <c r="E563" s="229"/>
      <c r="F563" s="229"/>
      <c r="G563" s="229"/>
      <c r="H563" s="229"/>
      <c r="I563" s="297"/>
      <c r="J563" s="297"/>
      <c r="K563" s="172">
        <f>C563</f>
        <v>1</v>
      </c>
    </row>
    <row r="564" spans="1:12" ht="15" customHeight="1" x14ac:dyDescent="0.2">
      <c r="A564" s="379"/>
      <c r="B564" s="154" t="s">
        <v>47</v>
      </c>
      <c r="C564" s="153"/>
      <c r="D564" s="153"/>
      <c r="E564" s="153"/>
      <c r="F564" s="153"/>
      <c r="G564" s="153"/>
      <c r="H564" s="153"/>
      <c r="I564" s="153"/>
      <c r="J564" s="153"/>
      <c r="K564" s="159">
        <f>SUM(K562,K563)</f>
        <v>1</v>
      </c>
      <c r="L564" s="159" t="s">
        <v>4</v>
      </c>
    </row>
    <row r="565" spans="1:12" ht="15" customHeight="1" x14ac:dyDescent="0.2">
      <c r="A565" s="18"/>
      <c r="B565" s="160"/>
      <c r="K565" s="143"/>
    </row>
    <row r="566" spans="1:12" ht="24.75" customHeight="1" x14ac:dyDescent="0.2">
      <c r="A566" s="379" t="s">
        <v>744</v>
      </c>
      <c r="B566" s="558" t="str">
        <f>'Planilha Orçamentária'!D131</f>
        <v>Padrão de entrada d'água com caixa termoplástica para hidrômetro de 3/4" - padrão 1B da CESAN. Instalado embutido na alvenaria. Inclusive tubulação, conexões, registro, tubo camisa e caixa com tampa transparente. Conferir detalhe.</v>
      </c>
      <c r="C566" s="559"/>
      <c r="D566" s="178"/>
      <c r="E566" s="178"/>
      <c r="F566" s="178"/>
      <c r="G566" s="178"/>
      <c r="H566" s="178"/>
      <c r="I566" s="178"/>
      <c r="J566" s="178"/>
      <c r="K566" s="179"/>
    </row>
    <row r="567" spans="1:12" ht="15" customHeight="1" x14ac:dyDescent="0.2">
      <c r="A567" s="379"/>
      <c r="B567" s="160" t="s">
        <v>810</v>
      </c>
      <c r="C567" s="137">
        <v>1</v>
      </c>
      <c r="D567" s="387"/>
      <c r="E567" s="387"/>
      <c r="F567" s="387"/>
      <c r="G567" s="387"/>
      <c r="H567" s="387"/>
      <c r="I567" s="387"/>
      <c r="J567" s="387"/>
      <c r="K567" s="172">
        <f>C567</f>
        <v>1</v>
      </c>
    </row>
    <row r="568" spans="1:12" ht="15" customHeight="1" x14ac:dyDescent="0.2">
      <c r="A568" s="379"/>
      <c r="B568" s="154" t="s">
        <v>47</v>
      </c>
      <c r="C568" s="153"/>
      <c r="D568" s="153"/>
      <c r="E568" s="153"/>
      <c r="F568" s="153"/>
      <c r="G568" s="153"/>
      <c r="H568" s="153"/>
      <c r="I568" s="153"/>
      <c r="J568" s="153"/>
      <c r="K568" s="159">
        <f>SUM(K566,K567)</f>
        <v>1</v>
      </c>
      <c r="L568" s="159" t="s">
        <v>4</v>
      </c>
    </row>
    <row r="569" spans="1:12" ht="15" customHeight="1" x14ac:dyDescent="0.2">
      <c r="A569" s="18"/>
      <c r="B569" s="160"/>
      <c r="K569" s="143"/>
    </row>
    <row r="570" spans="1:12" ht="15" customHeight="1" x14ac:dyDescent="0.2">
      <c r="A570" s="380" t="s">
        <v>745</v>
      </c>
      <c r="B570" s="365" t="str">
        <f>'Planilha Orçamentária'!D132</f>
        <v>Fossa, Filtro e Sumidouro</v>
      </c>
      <c r="C570" s="366"/>
      <c r="D570" s="366"/>
      <c r="E570" s="366"/>
      <c r="F570" s="366"/>
      <c r="G570" s="366"/>
      <c r="H570" s="366"/>
      <c r="I570" s="366"/>
      <c r="J570" s="366"/>
      <c r="K570" s="367"/>
      <c r="L570" s="180"/>
    </row>
    <row r="571" spans="1:12" ht="15" customHeight="1" x14ac:dyDescent="0.2">
      <c r="A571" s="379" t="s">
        <v>746</v>
      </c>
      <c r="B571" s="558" t="str">
        <f>'Planilha Orçamentária'!D133</f>
        <v>Escavação manual em material de 1a. categoria, até 1.50 m de profundidade</v>
      </c>
      <c r="C571" s="559"/>
      <c r="D571" s="559"/>
      <c r="E571" s="559"/>
      <c r="F571" s="559"/>
      <c r="G571" s="559"/>
      <c r="H571" s="559"/>
      <c r="I571" s="559"/>
      <c r="J571" s="559"/>
      <c r="K571" s="560"/>
      <c r="L571" s="182"/>
    </row>
    <row r="572" spans="1:12" ht="15" customHeight="1" x14ac:dyDescent="0.2">
      <c r="A572" s="379"/>
      <c r="B572" s="175" t="s">
        <v>680</v>
      </c>
      <c r="C572" s="137"/>
      <c r="D572" s="176"/>
      <c r="E572" s="176"/>
      <c r="F572" s="176"/>
      <c r="G572" s="137">
        <v>12.4</v>
      </c>
      <c r="H572" s="137">
        <v>1.5</v>
      </c>
      <c r="I572" s="137"/>
      <c r="J572" s="137"/>
      <c r="K572" s="172">
        <f>TRUNC(H572*G572,2)</f>
        <v>18.600000000000001</v>
      </c>
    </row>
    <row r="573" spans="1:12" ht="15" customHeight="1" x14ac:dyDescent="0.2">
      <c r="A573" s="379"/>
      <c r="B573" s="154" t="s">
        <v>47</v>
      </c>
      <c r="C573" s="153"/>
      <c r="D573" s="153"/>
      <c r="E573" s="153"/>
      <c r="F573" s="153"/>
      <c r="G573" s="153"/>
      <c r="H573" s="153"/>
      <c r="I573" s="153"/>
      <c r="J573" s="153"/>
      <c r="K573" s="159">
        <f>SUM(K572:K572)</f>
        <v>18.600000000000001</v>
      </c>
      <c r="L573" s="181" t="s">
        <v>303</v>
      </c>
    </row>
    <row r="574" spans="1:12" ht="15" customHeight="1" x14ac:dyDescent="0.2">
      <c r="A574" s="379"/>
      <c r="B574" s="364"/>
      <c r="K574" s="171"/>
      <c r="L574" s="173"/>
    </row>
    <row r="575" spans="1:12" ht="15" customHeight="1" x14ac:dyDescent="0.2">
      <c r="A575" s="379" t="s">
        <v>747</v>
      </c>
      <c r="B575" s="558" t="str">
        <f>'Planilha Orçamentária'!D134</f>
        <v>Reaterro de valas, exclusive compactação</v>
      </c>
      <c r="C575" s="559"/>
      <c r="D575" s="559"/>
      <c r="E575" s="559"/>
      <c r="F575" s="559"/>
      <c r="G575" s="559"/>
      <c r="H575" s="559"/>
      <c r="I575" s="559"/>
      <c r="J575" s="559"/>
      <c r="K575" s="560"/>
      <c r="L575" s="182"/>
    </row>
    <row r="576" spans="1:12" ht="15" customHeight="1" x14ac:dyDescent="0.2">
      <c r="A576" s="379"/>
      <c r="B576" s="175" t="s">
        <v>680</v>
      </c>
      <c r="C576" s="137"/>
      <c r="D576" s="176"/>
      <c r="E576" s="176"/>
      <c r="F576" s="137">
        <v>18.600000000000001</v>
      </c>
      <c r="G576" s="137"/>
      <c r="H576" s="137">
        <v>4.71</v>
      </c>
      <c r="I576" s="176"/>
      <c r="J576" s="176"/>
      <c r="K576" s="172">
        <f>TRUNC(F576-H576,2)</f>
        <v>13.89</v>
      </c>
    </row>
    <row r="577" spans="1:12" ht="15" customHeight="1" x14ac:dyDescent="0.2">
      <c r="A577" s="379"/>
      <c r="B577" s="154" t="s">
        <v>47</v>
      </c>
      <c r="C577" s="153"/>
      <c r="D577" s="153"/>
      <c r="E577" s="153"/>
      <c r="F577" s="153" t="s">
        <v>839</v>
      </c>
      <c r="G577" s="153"/>
      <c r="H577" s="153" t="s">
        <v>838</v>
      </c>
      <c r="I577" s="153"/>
      <c r="J577" s="153"/>
      <c r="K577" s="159">
        <f>SUM(K576:K576)</f>
        <v>13.89</v>
      </c>
      <c r="L577" s="181" t="s">
        <v>303</v>
      </c>
    </row>
    <row r="578" spans="1:12" ht="15" customHeight="1" x14ac:dyDescent="0.2">
      <c r="A578" s="379"/>
      <c r="B578" s="364"/>
      <c r="K578" s="171"/>
      <c r="L578" s="173"/>
    </row>
    <row r="579" spans="1:12" ht="24.75" customHeight="1" x14ac:dyDescent="0.2">
      <c r="A579" s="379" t="s">
        <v>748</v>
      </c>
      <c r="B579" s="558" t="str">
        <f>'Planilha Orçamentária'!D135</f>
        <v>Fossa séptica de anéis pré-moldados de concreto, diâmetro 1,20 m, altura útil de 1,50m, completa, incluindo tampa com visita de 60 cm, concreto para fundo, esp.10 cm, e tubo para ligação ao filtro.</v>
      </c>
      <c r="C579" s="559"/>
      <c r="D579" s="559"/>
      <c r="E579" s="178"/>
      <c r="F579" s="178"/>
      <c r="G579" s="178"/>
      <c r="H579" s="178"/>
      <c r="I579" s="178"/>
      <c r="J579" s="178"/>
      <c r="K579" s="179"/>
      <c r="L579" s="182"/>
    </row>
    <row r="580" spans="1:12" ht="15" customHeight="1" x14ac:dyDescent="0.2">
      <c r="A580" s="379"/>
      <c r="B580" s="175" t="s">
        <v>684</v>
      </c>
      <c r="C580" s="137">
        <v>1</v>
      </c>
      <c r="D580" s="176"/>
      <c r="E580" s="176"/>
      <c r="F580" s="176"/>
      <c r="G580" s="176"/>
      <c r="H580" s="176"/>
      <c r="I580" s="176"/>
      <c r="J580" s="176"/>
      <c r="K580" s="172">
        <f>C580</f>
        <v>1</v>
      </c>
    </row>
    <row r="581" spans="1:12" ht="15" customHeight="1" x14ac:dyDescent="0.2">
      <c r="A581" s="379"/>
      <c r="B581" s="154" t="s">
        <v>47</v>
      </c>
      <c r="C581" s="153"/>
      <c r="D581" s="153"/>
      <c r="E581" s="153"/>
      <c r="F581" s="153"/>
      <c r="G581" s="153"/>
      <c r="H581" s="153"/>
      <c r="I581" s="153"/>
      <c r="J581" s="153"/>
      <c r="K581" s="159">
        <f>SUM(K580:K580)</f>
        <v>1</v>
      </c>
      <c r="L581" s="181" t="s">
        <v>4</v>
      </c>
    </row>
    <row r="582" spans="1:12" ht="15" customHeight="1" x14ac:dyDescent="0.2">
      <c r="A582" s="379"/>
      <c r="B582" s="160"/>
      <c r="K582" s="143"/>
    </row>
    <row r="583" spans="1:12" ht="24" customHeight="1" x14ac:dyDescent="0.2">
      <c r="A583" s="379" t="s">
        <v>749</v>
      </c>
      <c r="B583" s="558" t="str">
        <f>'Planilha Orçamentária'!D136</f>
        <v>Filtro anaeróbio de anéis pré-moldados de concreto, diâmetro de 1.50m, altura útil de 1.00m, completo, incl. tampa c/visita de 60 cm, concreto p/fundo esp.10cm e tubulação de saída para o sumidouro</v>
      </c>
      <c r="C583" s="559"/>
      <c r="D583" s="559"/>
      <c r="E583" s="178"/>
      <c r="F583" s="178"/>
      <c r="G583" s="178"/>
      <c r="H583" s="178"/>
      <c r="I583" s="178"/>
      <c r="J583" s="178"/>
      <c r="K583" s="179"/>
      <c r="L583" s="182"/>
    </row>
    <row r="584" spans="1:12" ht="15" customHeight="1" x14ac:dyDescent="0.2">
      <c r="A584" s="379"/>
      <c r="B584" s="175" t="s">
        <v>685</v>
      </c>
      <c r="C584" s="137">
        <v>1</v>
      </c>
      <c r="D584" s="176"/>
      <c r="E584" s="176"/>
      <c r="F584" s="176"/>
      <c r="G584" s="176"/>
      <c r="H584" s="176"/>
      <c r="I584" s="176"/>
      <c r="J584" s="176"/>
      <c r="K584" s="172">
        <f>C584</f>
        <v>1</v>
      </c>
    </row>
    <row r="585" spans="1:12" ht="15" customHeight="1" x14ac:dyDescent="0.2">
      <c r="A585" s="379"/>
      <c r="B585" s="154" t="s">
        <v>47</v>
      </c>
      <c r="C585" s="153"/>
      <c r="D585" s="153"/>
      <c r="E585" s="153"/>
      <c r="F585" s="153"/>
      <c r="G585" s="153"/>
      <c r="H585" s="153"/>
      <c r="I585" s="153"/>
      <c r="J585" s="153"/>
      <c r="K585" s="159">
        <f>SUM(K584:K584)</f>
        <v>1</v>
      </c>
      <c r="L585" s="181" t="s">
        <v>4</v>
      </c>
    </row>
    <row r="586" spans="1:12" ht="15" customHeight="1" x14ac:dyDescent="0.2">
      <c r="A586" s="379"/>
      <c r="B586" s="160"/>
      <c r="K586" s="143"/>
    </row>
    <row r="587" spans="1:12" ht="24.75" customHeight="1" x14ac:dyDescent="0.2">
      <c r="A587" s="379" t="s">
        <v>750</v>
      </c>
      <c r="B587" s="558" t="str">
        <f>'Planilha Orçamentária'!D137</f>
        <v>Sumidouro de anéis pré-moldados de concreto, diâmetro 1,20 m, altura útil de 1,10 m, completo, incluindo tampa com visita de 60 cm, brita para fundo, esp.10 cm.</v>
      </c>
      <c r="C587" s="559"/>
      <c r="D587" s="559"/>
      <c r="E587" s="178"/>
      <c r="F587" s="178"/>
      <c r="G587" s="178"/>
      <c r="H587" s="178"/>
      <c r="I587" s="178"/>
      <c r="J587" s="178"/>
      <c r="K587" s="179"/>
      <c r="L587" s="182"/>
    </row>
    <row r="588" spans="1:12" ht="15" customHeight="1" x14ac:dyDescent="0.2">
      <c r="A588" s="379"/>
      <c r="B588" s="175" t="s">
        <v>686</v>
      </c>
      <c r="C588" s="137">
        <v>1</v>
      </c>
      <c r="D588" s="176"/>
      <c r="E588" s="176"/>
      <c r="F588" s="176"/>
      <c r="G588" s="176"/>
      <c r="H588" s="176"/>
      <c r="I588" s="176"/>
      <c r="J588" s="176"/>
      <c r="K588" s="172">
        <f>C588</f>
        <v>1</v>
      </c>
    </row>
    <row r="589" spans="1:12" ht="15" customHeight="1" x14ac:dyDescent="0.2">
      <c r="A589" s="379"/>
      <c r="B589" s="154" t="s">
        <v>47</v>
      </c>
      <c r="C589" s="153"/>
      <c r="D589" s="153"/>
      <c r="E589" s="153"/>
      <c r="F589" s="153"/>
      <c r="G589" s="153"/>
      <c r="H589" s="153"/>
      <c r="I589" s="153"/>
      <c r="J589" s="153"/>
      <c r="K589" s="159">
        <f>SUM(K588:K588)</f>
        <v>1</v>
      </c>
      <c r="L589" s="181" t="s">
        <v>4</v>
      </c>
    </row>
    <row r="590" spans="1:12" ht="15" customHeight="1" x14ac:dyDescent="0.2">
      <c r="A590" s="18"/>
      <c r="B590" s="160"/>
      <c r="K590" s="143"/>
    </row>
    <row r="591" spans="1:12" ht="15" customHeight="1" x14ac:dyDescent="0.2">
      <c r="A591" s="157" t="s">
        <v>751</v>
      </c>
      <c r="B591" s="156" t="str">
        <f>'Planilha Orçamentária'!D140</f>
        <v>INSTALAÇÕES ELÉTRICAS</v>
      </c>
      <c r="K591" s="143"/>
    </row>
    <row r="592" spans="1:12" ht="15" customHeight="1" x14ac:dyDescent="0.2">
      <c r="A592" s="157" t="s">
        <v>752</v>
      </c>
      <c r="B592" s="233" t="str">
        <f>'Planilha Orçamentária'!D141</f>
        <v>Aparelhos elétricos</v>
      </c>
      <c r="C592" s="164"/>
      <c r="D592" s="164"/>
      <c r="E592" s="164"/>
      <c r="F592" s="164"/>
      <c r="G592" s="164"/>
      <c r="H592" s="164"/>
      <c r="I592" s="164"/>
      <c r="J592" s="164"/>
      <c r="K592" s="170"/>
    </row>
    <row r="593" spans="1:12" ht="15" customHeight="1" x14ac:dyDescent="0.2">
      <c r="A593" s="206" t="s">
        <v>753</v>
      </c>
      <c r="B593" s="558" t="str">
        <f>'Planilha Orçamentária'!D142</f>
        <v>Luminaria LED sobrepor, 24W, quadrada, tipo plafon</v>
      </c>
      <c r="C593" s="559"/>
      <c r="D593" s="559"/>
      <c r="E593" s="559"/>
      <c r="F593" s="559"/>
      <c r="G593" s="559"/>
      <c r="H593" s="559"/>
      <c r="I593" s="559"/>
      <c r="J593" s="559"/>
      <c r="K593" s="560"/>
    </row>
    <row r="594" spans="1:12" ht="15" customHeight="1" x14ac:dyDescent="0.2">
      <c r="A594" s="206"/>
      <c r="B594" s="160" t="s">
        <v>187</v>
      </c>
      <c r="C594" s="18">
        <v>2</v>
      </c>
      <c r="K594" s="143">
        <f t="shared" ref="K594:K599" si="36">C594</f>
        <v>2</v>
      </c>
      <c r="L594" s="183"/>
    </row>
    <row r="595" spans="1:12" ht="15" customHeight="1" x14ac:dyDescent="0.2">
      <c r="A595" s="206"/>
      <c r="B595" s="160" t="s">
        <v>92</v>
      </c>
      <c r="C595" s="18">
        <v>1</v>
      </c>
      <c r="K595" s="143">
        <f t="shared" si="36"/>
        <v>1</v>
      </c>
      <c r="L595" s="182"/>
    </row>
    <row r="596" spans="1:12" ht="15" customHeight="1" x14ac:dyDescent="0.2">
      <c r="A596" s="206"/>
      <c r="B596" s="160" t="s">
        <v>91</v>
      </c>
      <c r="C596" s="18">
        <v>2</v>
      </c>
      <c r="K596" s="143">
        <f t="shared" si="36"/>
        <v>2</v>
      </c>
    </row>
    <row r="597" spans="1:12" ht="15" customHeight="1" x14ac:dyDescent="0.2">
      <c r="A597" s="206"/>
      <c r="B597" s="160" t="s">
        <v>93</v>
      </c>
      <c r="C597" s="18">
        <v>1</v>
      </c>
      <c r="K597" s="143">
        <f t="shared" si="36"/>
        <v>1</v>
      </c>
    </row>
    <row r="598" spans="1:12" ht="15" customHeight="1" x14ac:dyDescent="0.2">
      <c r="A598" s="206"/>
      <c r="B598" s="160" t="s">
        <v>289</v>
      </c>
      <c r="C598" s="18">
        <v>2</v>
      </c>
      <c r="K598" s="143">
        <f t="shared" si="36"/>
        <v>2</v>
      </c>
    </row>
    <row r="599" spans="1:12" ht="15" customHeight="1" x14ac:dyDescent="0.2">
      <c r="A599" s="206"/>
      <c r="B599" s="160" t="s">
        <v>290</v>
      </c>
      <c r="C599" s="18">
        <v>2</v>
      </c>
      <c r="K599" s="143">
        <f t="shared" si="36"/>
        <v>2</v>
      </c>
    </row>
    <row r="600" spans="1:12" ht="15" customHeight="1" x14ac:dyDescent="0.2">
      <c r="A600" s="206"/>
      <c r="B600" s="154" t="s">
        <v>47</v>
      </c>
      <c r="C600" s="153"/>
      <c r="D600" s="153"/>
      <c r="E600" s="153"/>
      <c r="F600" s="153"/>
      <c r="G600" s="153"/>
      <c r="H600" s="153"/>
      <c r="I600" s="153"/>
      <c r="J600" s="153"/>
      <c r="K600" s="159">
        <f>SUM(K594:K599)</f>
        <v>10</v>
      </c>
      <c r="L600" s="159" t="s">
        <v>4</v>
      </c>
    </row>
    <row r="601" spans="1:12" ht="15" customHeight="1" x14ac:dyDescent="0.2">
      <c r="A601" s="206"/>
      <c r="K601" s="143"/>
    </row>
    <row r="602" spans="1:12" ht="15" customHeight="1" x14ac:dyDescent="0.2">
      <c r="A602" s="206" t="s">
        <v>754</v>
      </c>
      <c r="B602" s="558" t="str">
        <f>'Planilha Orçamentária'!D143</f>
        <v>Luminaria LED Industrial HighBay 80W, bivolt, inclusive lâmpada - fornecimento e instalação</v>
      </c>
      <c r="C602" s="559"/>
      <c r="D602" s="559"/>
      <c r="E602" s="559"/>
      <c r="F602" s="559"/>
      <c r="G602" s="559"/>
      <c r="H602" s="559"/>
      <c r="I602" s="559"/>
      <c r="J602" s="559"/>
      <c r="K602" s="560"/>
      <c r="L602" s="173"/>
    </row>
    <row r="603" spans="1:12" ht="15" customHeight="1" x14ac:dyDescent="0.2">
      <c r="A603" s="206"/>
      <c r="B603" s="160" t="s">
        <v>188</v>
      </c>
      <c r="C603" s="18">
        <v>12</v>
      </c>
      <c r="K603" s="143">
        <f>C603</f>
        <v>12</v>
      </c>
    </row>
    <row r="604" spans="1:12" ht="15" customHeight="1" x14ac:dyDescent="0.2">
      <c r="A604" s="206"/>
      <c r="B604" s="154" t="s">
        <v>47</v>
      </c>
      <c r="C604" s="153"/>
      <c r="D604" s="153"/>
      <c r="E604" s="153"/>
      <c r="F604" s="153"/>
      <c r="G604" s="153"/>
      <c r="H604" s="153"/>
      <c r="I604" s="153"/>
      <c r="J604" s="153"/>
      <c r="K604" s="159">
        <f>K603</f>
        <v>12</v>
      </c>
      <c r="L604" s="159" t="s">
        <v>4</v>
      </c>
    </row>
    <row r="605" spans="1:12" ht="15" customHeight="1" x14ac:dyDescent="0.2">
      <c r="A605" s="206"/>
      <c r="K605" s="143"/>
    </row>
    <row r="606" spans="1:12" ht="15" customHeight="1" x14ac:dyDescent="0.2">
      <c r="A606" s="379" t="s">
        <v>755</v>
      </c>
      <c r="B606" s="558" t="str">
        <f>'Planilha Orçamentária'!D144</f>
        <v>Luminária de emergência - fornecimento e instalação</v>
      </c>
      <c r="C606" s="559"/>
      <c r="D606" s="559"/>
      <c r="E606" s="559"/>
      <c r="F606" s="559"/>
      <c r="G606" s="559"/>
      <c r="H606" s="559"/>
      <c r="I606" s="559"/>
      <c r="J606" s="559"/>
      <c r="K606" s="560"/>
    </row>
    <row r="607" spans="1:12" ht="15" customHeight="1" x14ac:dyDescent="0.2">
      <c r="A607" s="379"/>
      <c r="B607" s="160" t="s">
        <v>93</v>
      </c>
      <c r="C607" s="18">
        <v>1</v>
      </c>
      <c r="K607" s="143">
        <f>C607</f>
        <v>1</v>
      </c>
    </row>
    <row r="608" spans="1:12" ht="15" customHeight="1" x14ac:dyDescent="0.2">
      <c r="A608" s="379"/>
      <c r="B608" s="154" t="s">
        <v>47</v>
      </c>
      <c r="C608" s="153"/>
      <c r="D608" s="153"/>
      <c r="E608" s="153"/>
      <c r="F608" s="153"/>
      <c r="G608" s="153"/>
      <c r="H608" s="153"/>
      <c r="I608" s="153"/>
      <c r="J608" s="153"/>
      <c r="K608" s="159">
        <f>K607</f>
        <v>1</v>
      </c>
      <c r="L608" s="159" t="s">
        <v>4</v>
      </c>
    </row>
    <row r="609" spans="1:12" ht="15" customHeight="1" x14ac:dyDescent="0.2">
      <c r="A609" s="206"/>
      <c r="K609" s="143"/>
    </row>
    <row r="610" spans="1:12" ht="15" customHeight="1" x14ac:dyDescent="0.2">
      <c r="A610" s="379" t="s">
        <v>756</v>
      </c>
      <c r="B610" s="558" t="str">
        <f>'Planilha Orçamentária'!D145</f>
        <v xml:space="preserve">Interruptor simples (1 módulo), 10A/250V, incluindo suporte e placa - fornecimento e instalação   </v>
      </c>
      <c r="C610" s="559"/>
      <c r="D610" s="559"/>
      <c r="E610" s="559"/>
      <c r="F610" s="559"/>
      <c r="G610" s="559"/>
      <c r="H610" s="559"/>
      <c r="I610" s="559"/>
      <c r="J610" s="559"/>
      <c r="K610" s="560"/>
    </row>
    <row r="611" spans="1:12" ht="15" customHeight="1" x14ac:dyDescent="0.2">
      <c r="A611" s="379"/>
      <c r="B611" s="160" t="s">
        <v>92</v>
      </c>
      <c r="C611" s="18">
        <v>1</v>
      </c>
      <c r="K611" s="143">
        <f>C611</f>
        <v>1</v>
      </c>
    </row>
    <row r="612" spans="1:12" ht="15" customHeight="1" x14ac:dyDescent="0.2">
      <c r="A612" s="379"/>
      <c r="B612" s="160" t="s">
        <v>91</v>
      </c>
      <c r="C612" s="18">
        <v>1</v>
      </c>
      <c r="K612" s="143">
        <f>C612</f>
        <v>1</v>
      </c>
    </row>
    <row r="613" spans="1:12" ht="15" customHeight="1" x14ac:dyDescent="0.2">
      <c r="A613" s="379"/>
      <c r="B613" s="160" t="s">
        <v>93</v>
      </c>
      <c r="C613" s="18">
        <v>1</v>
      </c>
      <c r="K613" s="143">
        <f>C613</f>
        <v>1</v>
      </c>
    </row>
    <row r="614" spans="1:12" ht="15" customHeight="1" x14ac:dyDescent="0.2">
      <c r="A614" s="379"/>
      <c r="B614" s="160" t="s">
        <v>185</v>
      </c>
      <c r="C614" s="18">
        <v>1</v>
      </c>
      <c r="K614" s="143">
        <f t="shared" ref="K614:K615" si="37">C614</f>
        <v>1</v>
      </c>
    </row>
    <row r="615" spans="1:12" ht="15" customHeight="1" x14ac:dyDescent="0.2">
      <c r="A615" s="379"/>
      <c r="B615" s="160" t="s">
        <v>186</v>
      </c>
      <c r="C615" s="18">
        <v>1</v>
      </c>
      <c r="K615" s="143">
        <f t="shared" si="37"/>
        <v>1</v>
      </c>
    </row>
    <row r="616" spans="1:12" ht="15" customHeight="1" x14ac:dyDescent="0.2">
      <c r="A616" s="379"/>
      <c r="B616" s="154" t="s">
        <v>47</v>
      </c>
      <c r="C616" s="153"/>
      <c r="D616" s="153"/>
      <c r="E616" s="153"/>
      <c r="F616" s="153"/>
      <c r="G616" s="153"/>
      <c r="H616" s="153"/>
      <c r="I616" s="153"/>
      <c r="J616" s="153"/>
      <c r="K616" s="159">
        <f>SUM(K611:K615)</f>
        <v>5</v>
      </c>
      <c r="L616" s="159" t="s">
        <v>4</v>
      </c>
    </row>
    <row r="617" spans="1:12" ht="15" customHeight="1" x14ac:dyDescent="0.2">
      <c r="A617" s="379"/>
      <c r="K617" s="143"/>
    </row>
    <row r="618" spans="1:12" ht="15" customHeight="1" x14ac:dyDescent="0.2">
      <c r="A618" s="379" t="s">
        <v>757</v>
      </c>
      <c r="B618" s="558" t="str">
        <f>'Planilha Orçamentária'!D146</f>
        <v>Interruptor simples (1 módulo) com 1 tomada de embutir 2P+T 10 A, incluindo suporte e placa - fornecimento e instalação</v>
      </c>
      <c r="C618" s="559"/>
      <c r="D618" s="559"/>
      <c r="E618" s="559"/>
      <c r="F618" s="559"/>
      <c r="G618" s="559"/>
      <c r="H618" s="559"/>
      <c r="I618" s="559"/>
      <c r="J618" s="559"/>
      <c r="K618" s="560"/>
    </row>
    <row r="619" spans="1:12" ht="15" customHeight="1" x14ac:dyDescent="0.2">
      <c r="A619" s="379"/>
      <c r="B619" s="160" t="s">
        <v>187</v>
      </c>
      <c r="C619" s="18">
        <v>1</v>
      </c>
      <c r="K619" s="143">
        <f t="shared" ref="K619" si="38">C619</f>
        <v>1</v>
      </c>
    </row>
    <row r="620" spans="1:12" ht="15" customHeight="1" x14ac:dyDescent="0.2">
      <c r="A620" s="379"/>
      <c r="B620" s="154" t="s">
        <v>47</v>
      </c>
      <c r="C620" s="153"/>
      <c r="D620" s="153"/>
      <c r="E620" s="153"/>
      <c r="F620" s="153"/>
      <c r="G620" s="153"/>
      <c r="H620" s="153"/>
      <c r="I620" s="153"/>
      <c r="J620" s="153"/>
      <c r="K620" s="159">
        <f>SUM(K619:K619)</f>
        <v>1</v>
      </c>
      <c r="L620" s="159" t="s">
        <v>4</v>
      </c>
    </row>
    <row r="621" spans="1:12" ht="15" customHeight="1" x14ac:dyDescent="0.2">
      <c r="A621" s="379"/>
      <c r="K621" s="143"/>
    </row>
    <row r="622" spans="1:12" ht="15" customHeight="1" x14ac:dyDescent="0.2">
      <c r="A622" s="379" t="s">
        <v>758</v>
      </c>
      <c r="B622" s="558" t="str">
        <f>'Planilha Orçamentária'!D147</f>
        <v>Tomada alta de embutir (1 módulo), 2P+T 10 A, incluindo suporte e placa - fornecimento e instalação</v>
      </c>
      <c r="C622" s="559"/>
      <c r="D622" s="559"/>
      <c r="E622" s="559"/>
      <c r="F622" s="559"/>
      <c r="G622" s="559"/>
      <c r="H622" s="559"/>
      <c r="I622" s="559"/>
      <c r="J622" s="559"/>
      <c r="K622" s="560"/>
    </row>
    <row r="623" spans="1:12" ht="15" customHeight="1" x14ac:dyDescent="0.2">
      <c r="A623" s="379"/>
      <c r="B623" s="160" t="s">
        <v>264</v>
      </c>
      <c r="C623" s="18">
        <v>1</v>
      </c>
      <c r="K623" s="143">
        <f t="shared" ref="K623" si="39">C623</f>
        <v>1</v>
      </c>
    </row>
    <row r="624" spans="1:12" ht="15" customHeight="1" x14ac:dyDescent="0.2">
      <c r="A624" s="379"/>
      <c r="B624" s="154" t="s">
        <v>47</v>
      </c>
      <c r="C624" s="153"/>
      <c r="D624" s="153"/>
      <c r="E624" s="153"/>
      <c r="F624" s="153"/>
      <c r="G624" s="153"/>
      <c r="H624" s="153"/>
      <c r="I624" s="153"/>
      <c r="J624" s="153"/>
      <c r="K624" s="159">
        <f>SUM(K623:K623)</f>
        <v>1</v>
      </c>
      <c r="L624" s="159" t="s">
        <v>4</v>
      </c>
    </row>
    <row r="625" spans="1:12" ht="15" customHeight="1" x14ac:dyDescent="0.2">
      <c r="A625" s="379"/>
      <c r="K625" s="143"/>
    </row>
    <row r="626" spans="1:12" ht="15" customHeight="1" x14ac:dyDescent="0.2">
      <c r="A626" s="379" t="s">
        <v>759</v>
      </c>
      <c r="B626" s="558" t="str">
        <f>'Planilha Orçamentária'!D148</f>
        <v>Tomada alta de embutir (1 módulo), 2P+T 20 A, incluindo suporte e placa - fornecimento e instalação</v>
      </c>
      <c r="C626" s="559"/>
      <c r="D626" s="559"/>
      <c r="E626" s="559"/>
      <c r="F626" s="559"/>
      <c r="G626" s="559"/>
      <c r="H626" s="559"/>
      <c r="I626" s="559"/>
      <c r="J626" s="559"/>
      <c r="K626" s="560"/>
    </row>
    <row r="627" spans="1:12" ht="15" customHeight="1" x14ac:dyDescent="0.2">
      <c r="A627" s="379"/>
      <c r="B627" s="160" t="s">
        <v>265</v>
      </c>
      <c r="C627" s="18">
        <v>1</v>
      </c>
      <c r="K627" s="143">
        <f t="shared" ref="K627:K628" si="40">C627</f>
        <v>1</v>
      </c>
    </row>
    <row r="628" spans="1:12" ht="15" customHeight="1" x14ac:dyDescent="0.2">
      <c r="A628" s="379"/>
      <c r="B628" s="160" t="s">
        <v>266</v>
      </c>
      <c r="C628" s="18">
        <v>1</v>
      </c>
      <c r="K628" s="143">
        <f t="shared" si="40"/>
        <v>1</v>
      </c>
    </row>
    <row r="629" spans="1:12" ht="15" customHeight="1" x14ac:dyDescent="0.2">
      <c r="A629" s="379"/>
      <c r="B629" s="154" t="s">
        <v>47</v>
      </c>
      <c r="C629" s="153"/>
      <c r="D629" s="153"/>
      <c r="E629" s="153"/>
      <c r="F629" s="153"/>
      <c r="G629" s="153"/>
      <c r="H629" s="153"/>
      <c r="I629" s="153"/>
      <c r="J629" s="153"/>
      <c r="K629" s="159">
        <f>SUM(K627:K628)</f>
        <v>2</v>
      </c>
      <c r="L629" s="159" t="s">
        <v>4</v>
      </c>
    </row>
    <row r="630" spans="1:12" ht="15" customHeight="1" x14ac:dyDescent="0.2">
      <c r="A630" s="379"/>
      <c r="B630" s="236"/>
      <c r="K630" s="171"/>
      <c r="L630" s="173"/>
    </row>
    <row r="631" spans="1:12" ht="15" customHeight="1" x14ac:dyDescent="0.2">
      <c r="A631" s="379" t="s">
        <v>760</v>
      </c>
      <c r="B631" s="558" t="str">
        <f>'Planilha Orçamentária'!D149</f>
        <v xml:space="preserve">Tomada média de embutir (1 módulo), 2P+T 10 A, incluindo suporte e placa - fornecimento e instalação  </v>
      </c>
      <c r="C631" s="559"/>
      <c r="D631" s="559"/>
      <c r="E631" s="559"/>
      <c r="F631" s="559"/>
      <c r="G631" s="559"/>
      <c r="H631" s="559"/>
      <c r="I631" s="559"/>
      <c r="J631" s="559"/>
      <c r="K631" s="560"/>
    </row>
    <row r="632" spans="1:12" ht="15" customHeight="1" x14ac:dyDescent="0.2">
      <c r="A632" s="379"/>
      <c r="B632" s="160" t="s">
        <v>91</v>
      </c>
      <c r="C632" s="18">
        <v>3</v>
      </c>
      <c r="K632" s="143">
        <f t="shared" ref="K632:K634" si="41">C632</f>
        <v>3</v>
      </c>
    </row>
    <row r="633" spans="1:12" ht="15" customHeight="1" x14ac:dyDescent="0.2">
      <c r="A633" s="379"/>
      <c r="B633" s="160" t="s">
        <v>185</v>
      </c>
      <c r="C633" s="18">
        <v>1</v>
      </c>
      <c r="K633" s="143">
        <f t="shared" si="41"/>
        <v>1</v>
      </c>
    </row>
    <row r="634" spans="1:12" ht="15" customHeight="1" x14ac:dyDescent="0.2">
      <c r="A634" s="379"/>
      <c r="B634" s="160" t="s">
        <v>186</v>
      </c>
      <c r="C634" s="18">
        <v>1</v>
      </c>
      <c r="K634" s="143">
        <f t="shared" si="41"/>
        <v>1</v>
      </c>
    </row>
    <row r="635" spans="1:12" ht="15" customHeight="1" x14ac:dyDescent="0.2">
      <c r="A635" s="379"/>
      <c r="B635" s="154" t="s">
        <v>47</v>
      </c>
      <c r="C635" s="153"/>
      <c r="D635" s="153"/>
      <c r="E635" s="153"/>
      <c r="F635" s="153"/>
      <c r="G635" s="153"/>
      <c r="H635" s="153"/>
      <c r="I635" s="153"/>
      <c r="J635" s="153"/>
      <c r="K635" s="159">
        <f>SUM(K632:K634)</f>
        <v>5</v>
      </c>
      <c r="L635" s="159" t="s">
        <v>4</v>
      </c>
    </row>
    <row r="636" spans="1:12" ht="15" customHeight="1" x14ac:dyDescent="0.2">
      <c r="A636" s="379"/>
      <c r="K636" s="143"/>
    </row>
    <row r="637" spans="1:12" ht="15" customHeight="1" x14ac:dyDescent="0.2">
      <c r="A637" s="379" t="s">
        <v>761</v>
      </c>
      <c r="B637" s="558" t="str">
        <f>'Planilha Orçamentária'!D150</f>
        <v xml:space="preserve">Tomada média de embutir (2 módulos), 2P+T 10 A, incluindo suporte e placa - fornecimento e instalação         </v>
      </c>
      <c r="C637" s="559"/>
      <c r="D637" s="559"/>
      <c r="E637" s="559"/>
      <c r="F637" s="559"/>
      <c r="G637" s="559"/>
      <c r="H637" s="559"/>
      <c r="I637" s="559"/>
      <c r="J637" s="559"/>
      <c r="K637" s="560"/>
    </row>
    <row r="638" spans="1:12" ht="15" customHeight="1" x14ac:dyDescent="0.2">
      <c r="A638" s="379"/>
      <c r="B638" s="160" t="s">
        <v>92</v>
      </c>
      <c r="C638" s="18">
        <v>2</v>
      </c>
      <c r="K638" s="143">
        <f>C638</f>
        <v>2</v>
      </c>
    </row>
    <row r="639" spans="1:12" ht="15" customHeight="1" x14ac:dyDescent="0.2">
      <c r="A639" s="379"/>
      <c r="B639" s="160" t="s">
        <v>91</v>
      </c>
      <c r="C639" s="18">
        <v>1</v>
      </c>
      <c r="K639" s="143">
        <f>C639</f>
        <v>1</v>
      </c>
    </row>
    <row r="640" spans="1:12" ht="15" customHeight="1" x14ac:dyDescent="0.2">
      <c r="A640" s="379"/>
      <c r="B640" s="154" t="s">
        <v>47</v>
      </c>
      <c r="C640" s="153"/>
      <c r="D640" s="153"/>
      <c r="E640" s="153"/>
      <c r="F640" s="153"/>
      <c r="G640" s="153"/>
      <c r="H640" s="153"/>
      <c r="I640" s="153"/>
      <c r="J640" s="153"/>
      <c r="K640" s="159">
        <f>SUM(K638:K639)</f>
        <v>3</v>
      </c>
      <c r="L640" s="159" t="s">
        <v>4</v>
      </c>
    </row>
    <row r="641" spans="1:12" ht="15" customHeight="1" x14ac:dyDescent="0.2">
      <c r="A641" s="379"/>
      <c r="B641" s="160"/>
      <c r="K641" s="143"/>
    </row>
    <row r="642" spans="1:12" ht="15" customHeight="1" x14ac:dyDescent="0.2">
      <c r="A642" s="379" t="s">
        <v>762</v>
      </c>
      <c r="B642" s="558" t="str">
        <f>'Planilha Orçamentária'!D151</f>
        <v xml:space="preserve">Tomada baixa de embutir (2 módulos), 2P+T 10 A, incluindo suporte e placa - fornecimento e instalação    </v>
      </c>
      <c r="C642" s="559"/>
      <c r="D642" s="559"/>
      <c r="E642" s="559"/>
      <c r="F642" s="559"/>
      <c r="G642" s="559"/>
      <c r="H642" s="559"/>
      <c r="I642" s="559"/>
      <c r="J642" s="559"/>
      <c r="K642" s="560"/>
    </row>
    <row r="643" spans="1:12" ht="15" customHeight="1" x14ac:dyDescent="0.2">
      <c r="A643" s="379"/>
      <c r="B643" s="160" t="s">
        <v>92</v>
      </c>
      <c r="C643" s="18">
        <v>2</v>
      </c>
      <c r="K643" s="143">
        <f>C643</f>
        <v>2</v>
      </c>
    </row>
    <row r="644" spans="1:12" ht="15" customHeight="1" x14ac:dyDescent="0.2">
      <c r="A644" s="379"/>
      <c r="B644" s="154" t="s">
        <v>47</v>
      </c>
      <c r="C644" s="153"/>
      <c r="D644" s="153"/>
      <c r="E644" s="153"/>
      <c r="F644" s="153"/>
      <c r="G644" s="153"/>
      <c r="H644" s="153"/>
      <c r="I644" s="153"/>
      <c r="J644" s="153"/>
      <c r="K644" s="159">
        <f>SUM(K643:K643)</f>
        <v>2</v>
      </c>
      <c r="L644" s="159" t="s">
        <v>4</v>
      </c>
    </row>
    <row r="645" spans="1:12" ht="15" customHeight="1" x14ac:dyDescent="0.2">
      <c r="A645" s="206"/>
      <c r="K645" s="143"/>
    </row>
    <row r="646" spans="1:12" ht="15" customHeight="1" x14ac:dyDescent="0.2">
      <c r="A646" s="206" t="s">
        <v>763</v>
      </c>
      <c r="B646" s="558" t="str">
        <f>'Planilha Orçamentária'!D152</f>
        <v>Tomada industrial de sobrepor, 380/415V, 3P+T+N-32A</v>
      </c>
      <c r="C646" s="559"/>
      <c r="D646" s="559"/>
      <c r="E646" s="559"/>
      <c r="F646" s="559"/>
      <c r="G646" s="559"/>
      <c r="H646" s="559"/>
      <c r="I646" s="559"/>
      <c r="J646" s="559"/>
      <c r="K646" s="560"/>
    </row>
    <row r="647" spans="1:12" ht="15" customHeight="1" x14ac:dyDescent="0.2">
      <c r="A647" s="206"/>
      <c r="B647" s="160" t="s">
        <v>188</v>
      </c>
      <c r="C647" s="18">
        <v>6</v>
      </c>
      <c r="K647" s="143">
        <f>C647</f>
        <v>6</v>
      </c>
    </row>
    <row r="648" spans="1:12" ht="15" customHeight="1" x14ac:dyDescent="0.2">
      <c r="A648" s="206"/>
      <c r="B648" s="154" t="s">
        <v>47</v>
      </c>
      <c r="C648" s="153"/>
      <c r="D648" s="153"/>
      <c r="E648" s="153"/>
      <c r="F648" s="153"/>
      <c r="G648" s="153"/>
      <c r="H648" s="153"/>
      <c r="I648" s="153"/>
      <c r="J648" s="153"/>
      <c r="K648" s="159">
        <f>SUM(K647:K647)</f>
        <v>6</v>
      </c>
      <c r="L648" s="159" t="s">
        <v>4</v>
      </c>
    </row>
    <row r="649" spans="1:12" ht="15" customHeight="1" x14ac:dyDescent="0.2">
      <c r="A649" s="206"/>
      <c r="K649" s="143"/>
    </row>
    <row r="650" spans="1:12" ht="15" customHeight="1" x14ac:dyDescent="0.2">
      <c r="A650" s="379" t="s">
        <v>764</v>
      </c>
      <c r="B650" s="558" t="str">
        <f>'Planilha Orçamentária'!D153</f>
        <v>Tomada para telefone com conector RJ 11</v>
      </c>
      <c r="C650" s="559"/>
      <c r="D650" s="559"/>
      <c r="E650" s="559"/>
      <c r="F650" s="559"/>
      <c r="G650" s="559"/>
      <c r="H650" s="559"/>
      <c r="I650" s="559"/>
      <c r="J650" s="559"/>
      <c r="K650" s="560"/>
    </row>
    <row r="651" spans="1:12" ht="15" customHeight="1" x14ac:dyDescent="0.2">
      <c r="A651" s="377"/>
      <c r="B651" s="160" t="s">
        <v>92</v>
      </c>
      <c r="C651" s="18">
        <v>1</v>
      </c>
      <c r="K651" s="143">
        <f>C651</f>
        <v>1</v>
      </c>
    </row>
    <row r="652" spans="1:12" ht="15" customHeight="1" x14ac:dyDescent="0.2">
      <c r="A652" s="377"/>
      <c r="B652" s="154" t="s">
        <v>47</v>
      </c>
      <c r="C652" s="153"/>
      <c r="D652" s="153"/>
      <c r="E652" s="153"/>
      <c r="F652" s="153"/>
      <c r="G652" s="153"/>
      <c r="H652" s="153"/>
      <c r="I652" s="153"/>
      <c r="J652" s="153"/>
      <c r="K652" s="159">
        <f>SUM(K651:K651)</f>
        <v>1</v>
      </c>
      <c r="L652" s="159" t="s">
        <v>4</v>
      </c>
    </row>
    <row r="653" spans="1:12" ht="15" customHeight="1" x14ac:dyDescent="0.2">
      <c r="A653" s="18"/>
      <c r="B653" s="244"/>
      <c r="K653" s="171"/>
      <c r="L653" s="173"/>
    </row>
    <row r="654" spans="1:12" ht="15" customHeight="1" x14ac:dyDescent="0.2">
      <c r="A654" s="157" t="s">
        <v>765</v>
      </c>
      <c r="B654" s="233" t="str">
        <f>'Planilha Orçamentária'!D154</f>
        <v>Caixas, eletrodutos e condutores</v>
      </c>
      <c r="K654" s="143"/>
    </row>
    <row r="655" spans="1:12" ht="15" customHeight="1" x14ac:dyDescent="0.2">
      <c r="A655" s="379" t="s">
        <v>766</v>
      </c>
      <c r="B655" s="561" t="str">
        <f>'Planilha Orçamentária'!D155</f>
        <v>Caixa octogonal 4" x 4", metálica, instalada em laje - fornecimento e instalação</v>
      </c>
      <c r="C655" s="562"/>
      <c r="D655" s="562"/>
      <c r="E655" s="562"/>
      <c r="F655" s="562"/>
      <c r="G655" s="562"/>
      <c r="H655" s="562"/>
      <c r="I655" s="562"/>
      <c r="J655" s="562"/>
      <c r="K655" s="563"/>
    </row>
    <row r="656" spans="1:12" ht="15" customHeight="1" x14ac:dyDescent="0.2">
      <c r="A656" s="379"/>
      <c r="B656" s="160" t="s">
        <v>187</v>
      </c>
      <c r="C656" s="18">
        <v>2</v>
      </c>
      <c r="K656" s="143">
        <f t="shared" ref="K656:K661" si="42">C656</f>
        <v>2</v>
      </c>
    </row>
    <row r="657" spans="1:12" ht="15" customHeight="1" x14ac:dyDescent="0.2">
      <c r="A657" s="379"/>
      <c r="B657" s="160" t="s">
        <v>92</v>
      </c>
      <c r="C657" s="18">
        <v>1</v>
      </c>
      <c r="K657" s="143">
        <f t="shared" si="42"/>
        <v>1</v>
      </c>
      <c r="L657" s="183"/>
    </row>
    <row r="658" spans="1:12" ht="15" customHeight="1" x14ac:dyDescent="0.2">
      <c r="A658" s="379"/>
      <c r="B658" s="160" t="s">
        <v>91</v>
      </c>
      <c r="C658" s="18">
        <v>2</v>
      </c>
      <c r="K658" s="143">
        <f t="shared" si="42"/>
        <v>2</v>
      </c>
      <c r="L658" s="182"/>
    </row>
    <row r="659" spans="1:12" ht="15" customHeight="1" x14ac:dyDescent="0.2">
      <c r="A659" s="379"/>
      <c r="B659" s="160" t="s">
        <v>93</v>
      </c>
      <c r="C659" s="18">
        <v>1</v>
      </c>
      <c r="K659" s="143">
        <f t="shared" si="42"/>
        <v>1</v>
      </c>
    </row>
    <row r="660" spans="1:12" ht="15" customHeight="1" x14ac:dyDescent="0.2">
      <c r="A660" s="379"/>
      <c r="B660" s="160" t="s">
        <v>289</v>
      </c>
      <c r="C660" s="18">
        <v>2</v>
      </c>
      <c r="K660" s="143">
        <f t="shared" si="42"/>
        <v>2</v>
      </c>
    </row>
    <row r="661" spans="1:12" ht="15" customHeight="1" x14ac:dyDescent="0.2">
      <c r="A661" s="379"/>
      <c r="B661" s="160" t="s">
        <v>290</v>
      </c>
      <c r="C661" s="18">
        <v>2</v>
      </c>
      <c r="K661" s="143">
        <f t="shared" si="42"/>
        <v>2</v>
      </c>
    </row>
    <row r="662" spans="1:12" ht="15" customHeight="1" x14ac:dyDescent="0.2">
      <c r="A662" s="379"/>
      <c r="B662" s="154" t="s">
        <v>47</v>
      </c>
      <c r="C662" s="153"/>
      <c r="D662" s="153"/>
      <c r="E662" s="153"/>
      <c r="F662" s="153"/>
      <c r="G662" s="153"/>
      <c r="H662" s="153"/>
      <c r="I662" s="153"/>
      <c r="J662" s="153"/>
      <c r="K662" s="159">
        <f>SUM(K656:K661)</f>
        <v>10</v>
      </c>
      <c r="L662" s="159" t="s">
        <v>4</v>
      </c>
    </row>
    <row r="663" spans="1:12" ht="15" customHeight="1" x14ac:dyDescent="0.2">
      <c r="A663" s="379"/>
      <c r="B663" s="141"/>
      <c r="K663" s="143"/>
    </row>
    <row r="664" spans="1:12" ht="15" customHeight="1" x14ac:dyDescent="0.2">
      <c r="A664" s="379" t="s">
        <v>767</v>
      </c>
      <c r="B664" s="561" t="str">
        <f>'Planilha Orçamentária'!D156</f>
        <v xml:space="preserve">Caixa retangular 4" x 2" alta, PVC, instalada em parede - fornecimento e instalação  </v>
      </c>
      <c r="C664" s="562"/>
      <c r="D664" s="562"/>
      <c r="E664" s="562"/>
      <c r="F664" s="562"/>
      <c r="G664" s="562"/>
      <c r="H664" s="562"/>
      <c r="I664" s="562"/>
      <c r="J664" s="562"/>
      <c r="K664" s="563"/>
    </row>
    <row r="665" spans="1:12" ht="15" customHeight="1" x14ac:dyDescent="0.2">
      <c r="A665" s="379"/>
      <c r="B665" s="242" t="s">
        <v>93</v>
      </c>
      <c r="C665" s="18">
        <v>1</v>
      </c>
      <c r="D665" s="237"/>
      <c r="E665" s="237"/>
      <c r="F665" s="237"/>
      <c r="G665" s="237"/>
      <c r="H665" s="237"/>
      <c r="I665" s="298"/>
      <c r="J665" s="298"/>
      <c r="K665" s="143">
        <f t="shared" ref="K665:K667" si="43">C665</f>
        <v>1</v>
      </c>
    </row>
    <row r="666" spans="1:12" ht="15" customHeight="1" x14ac:dyDescent="0.2">
      <c r="A666" s="379"/>
      <c r="B666" s="160" t="s">
        <v>185</v>
      </c>
      <c r="C666" s="18">
        <v>1</v>
      </c>
      <c r="K666" s="143">
        <f t="shared" si="43"/>
        <v>1</v>
      </c>
    </row>
    <row r="667" spans="1:12" ht="15" customHeight="1" x14ac:dyDescent="0.2">
      <c r="A667" s="379"/>
      <c r="B667" s="160" t="s">
        <v>186</v>
      </c>
      <c r="C667" s="18">
        <v>1</v>
      </c>
      <c r="K667" s="143">
        <f t="shared" si="43"/>
        <v>1</v>
      </c>
    </row>
    <row r="668" spans="1:12" ht="15" customHeight="1" x14ac:dyDescent="0.2">
      <c r="A668" s="379"/>
      <c r="B668" s="154" t="s">
        <v>47</v>
      </c>
      <c r="C668" s="153"/>
      <c r="D668" s="153"/>
      <c r="E668" s="153"/>
      <c r="F668" s="153"/>
      <c r="G668" s="153"/>
      <c r="H668" s="153"/>
      <c r="I668" s="153"/>
      <c r="J668" s="153"/>
      <c r="K668" s="159">
        <f>SUM(K665:K667)</f>
        <v>3</v>
      </c>
      <c r="L668" s="159" t="s">
        <v>4</v>
      </c>
    </row>
    <row r="669" spans="1:12" ht="15" customHeight="1" x14ac:dyDescent="0.2">
      <c r="A669" s="379"/>
      <c r="K669" s="143"/>
    </row>
    <row r="670" spans="1:12" ht="15" customHeight="1" x14ac:dyDescent="0.2">
      <c r="A670" s="379" t="s">
        <v>768</v>
      </c>
      <c r="B670" s="558" t="str">
        <f>'Planilha Orçamentária'!D157</f>
        <v xml:space="preserve">Caixa retangular 4" x 2" média, PVC, instalada em parede - fornecimento e instalação  </v>
      </c>
      <c r="C670" s="559"/>
      <c r="D670" s="559"/>
      <c r="E670" s="559"/>
      <c r="F670" s="559"/>
      <c r="G670" s="559"/>
      <c r="H670" s="559"/>
      <c r="I670" s="559"/>
      <c r="J670" s="559"/>
      <c r="K670" s="560"/>
    </row>
    <row r="671" spans="1:12" ht="15" customHeight="1" x14ac:dyDescent="0.2">
      <c r="A671" s="379"/>
      <c r="B671" s="160" t="s">
        <v>187</v>
      </c>
      <c r="C671" s="18">
        <v>1</v>
      </c>
      <c r="K671" s="143">
        <f t="shared" ref="K671:K676" si="44">C671</f>
        <v>1</v>
      </c>
    </row>
    <row r="672" spans="1:12" ht="15" customHeight="1" x14ac:dyDescent="0.2">
      <c r="A672" s="379"/>
      <c r="B672" s="160" t="s">
        <v>92</v>
      </c>
      <c r="C672" s="18">
        <v>3</v>
      </c>
      <c r="K672" s="143">
        <f t="shared" si="44"/>
        <v>3</v>
      </c>
    </row>
    <row r="673" spans="1:12" ht="15" customHeight="1" x14ac:dyDescent="0.2">
      <c r="A673" s="379"/>
      <c r="B673" s="160" t="s">
        <v>91</v>
      </c>
      <c r="C673" s="18">
        <v>5</v>
      </c>
      <c r="K673" s="143">
        <f t="shared" si="44"/>
        <v>5</v>
      </c>
    </row>
    <row r="674" spans="1:12" ht="15" customHeight="1" x14ac:dyDescent="0.2">
      <c r="A674" s="379"/>
      <c r="B674" s="160" t="s">
        <v>93</v>
      </c>
      <c r="C674" s="18">
        <v>1</v>
      </c>
      <c r="K674" s="143">
        <f t="shared" si="44"/>
        <v>1</v>
      </c>
    </row>
    <row r="675" spans="1:12" ht="15" customHeight="1" x14ac:dyDescent="0.2">
      <c r="A675" s="379"/>
      <c r="B675" s="160" t="s">
        <v>289</v>
      </c>
      <c r="C675" s="18">
        <v>2</v>
      </c>
      <c r="K675" s="143">
        <f t="shared" si="44"/>
        <v>2</v>
      </c>
    </row>
    <row r="676" spans="1:12" ht="15" customHeight="1" x14ac:dyDescent="0.2">
      <c r="A676" s="379"/>
      <c r="B676" s="160" t="s">
        <v>290</v>
      </c>
      <c r="C676" s="18">
        <v>2</v>
      </c>
      <c r="K676" s="143">
        <f t="shared" si="44"/>
        <v>2</v>
      </c>
    </row>
    <row r="677" spans="1:12" ht="15" customHeight="1" x14ac:dyDescent="0.2">
      <c r="A677" s="379"/>
      <c r="B677" s="154" t="s">
        <v>47</v>
      </c>
      <c r="C677" s="153"/>
      <c r="D677" s="153"/>
      <c r="E677" s="153"/>
      <c r="F677" s="153"/>
      <c r="G677" s="153"/>
      <c r="H677" s="153"/>
      <c r="I677" s="153"/>
      <c r="J677" s="153"/>
      <c r="K677" s="159">
        <f>SUM(K671:K676)</f>
        <v>14</v>
      </c>
      <c r="L677" s="159" t="s">
        <v>4</v>
      </c>
    </row>
    <row r="678" spans="1:12" ht="15" customHeight="1" x14ac:dyDescent="0.2">
      <c r="A678" s="379"/>
      <c r="K678" s="143"/>
    </row>
    <row r="679" spans="1:12" ht="15" customHeight="1" x14ac:dyDescent="0.2">
      <c r="A679" s="379" t="s">
        <v>769</v>
      </c>
      <c r="B679" s="561" t="str">
        <f>'Planilha Orçamentária'!D158</f>
        <v xml:space="preserve">Caixa retangular 4" x 2" baixa, PVC, instalada em parede - fornecimento e instalação  </v>
      </c>
      <c r="C679" s="562"/>
      <c r="D679" s="562"/>
      <c r="E679" s="562"/>
      <c r="F679" s="562"/>
      <c r="G679" s="562"/>
      <c r="H679" s="562"/>
      <c r="I679" s="562"/>
      <c r="J679" s="562"/>
      <c r="K679" s="563"/>
    </row>
    <row r="680" spans="1:12" ht="15" customHeight="1" x14ac:dyDescent="0.2">
      <c r="A680" s="379"/>
      <c r="B680" s="242" t="s">
        <v>92</v>
      </c>
      <c r="C680" s="18">
        <v>3</v>
      </c>
      <c r="D680" s="243"/>
      <c r="E680" s="243"/>
      <c r="F680" s="243"/>
      <c r="G680" s="243"/>
      <c r="H680" s="243"/>
      <c r="I680" s="243"/>
      <c r="J680" s="243"/>
      <c r="K680" s="143">
        <f t="shared" ref="K680:K681" si="45">C680</f>
        <v>3</v>
      </c>
    </row>
    <row r="681" spans="1:12" ht="15" customHeight="1" x14ac:dyDescent="0.2">
      <c r="A681" s="379"/>
      <c r="B681" s="160" t="s">
        <v>188</v>
      </c>
      <c r="C681" s="18">
        <v>6</v>
      </c>
      <c r="K681" s="143">
        <f t="shared" si="45"/>
        <v>6</v>
      </c>
      <c r="L681" s="173"/>
    </row>
    <row r="682" spans="1:12" ht="15" customHeight="1" x14ac:dyDescent="0.2">
      <c r="A682" s="379"/>
      <c r="B682" s="154" t="s">
        <v>47</v>
      </c>
      <c r="C682" s="153"/>
      <c r="D682" s="153"/>
      <c r="E682" s="153"/>
      <c r="F682" s="153"/>
      <c r="G682" s="153"/>
      <c r="H682" s="153"/>
      <c r="I682" s="153"/>
      <c r="J682" s="153"/>
      <c r="K682" s="159">
        <f>SUM(K680:K681)</f>
        <v>9</v>
      </c>
      <c r="L682" s="159" t="s">
        <v>4</v>
      </c>
    </row>
    <row r="683" spans="1:12" ht="15" customHeight="1" x14ac:dyDescent="0.2">
      <c r="A683" s="379"/>
      <c r="K683" s="143"/>
    </row>
    <row r="684" spans="1:12" ht="15" customHeight="1" x14ac:dyDescent="0.2">
      <c r="A684" s="379" t="s">
        <v>770</v>
      </c>
      <c r="B684" s="561" t="str">
        <f>'Planilha Orçamentária'!D159</f>
        <v>Fio de cobre termoplástico, com isolamento para 750V, seção de 2.5 mm²</v>
      </c>
      <c r="C684" s="562"/>
      <c r="D684" s="562"/>
      <c r="E684" s="562"/>
      <c r="F684" s="562"/>
      <c r="G684" s="562"/>
      <c r="H684" s="562"/>
      <c r="I684" s="562"/>
      <c r="J684" s="562"/>
      <c r="K684" s="563"/>
    </row>
    <row r="685" spans="1:12" ht="15" customHeight="1" x14ac:dyDescent="0.2">
      <c r="A685" s="379"/>
      <c r="B685" s="242" t="s">
        <v>267</v>
      </c>
      <c r="D685" s="18">
        <v>144.62</v>
      </c>
      <c r="E685" s="243"/>
      <c r="F685" s="243"/>
      <c r="G685" s="243"/>
      <c r="H685" s="243"/>
      <c r="I685" s="243"/>
      <c r="J685" s="243"/>
      <c r="K685" s="143">
        <f>D685</f>
        <v>144.62</v>
      </c>
    </row>
    <row r="686" spans="1:12" ht="15" customHeight="1" x14ac:dyDescent="0.2">
      <c r="A686" s="379"/>
      <c r="B686" s="160" t="s">
        <v>188</v>
      </c>
      <c r="D686" s="18">
        <v>54.27</v>
      </c>
      <c r="K686" s="143">
        <f>D686</f>
        <v>54.27</v>
      </c>
      <c r="L686" s="173"/>
    </row>
    <row r="687" spans="1:12" ht="15" customHeight="1" x14ac:dyDescent="0.2">
      <c r="A687" s="379"/>
      <c r="B687" s="154" t="s">
        <v>47</v>
      </c>
      <c r="C687" s="153"/>
      <c r="D687" s="153"/>
      <c r="E687" s="153"/>
      <c r="F687" s="153"/>
      <c r="G687" s="153"/>
      <c r="H687" s="153"/>
      <c r="I687" s="153"/>
      <c r="J687" s="153"/>
      <c r="K687" s="159">
        <f>SUM(K685:K686)</f>
        <v>198.89000000000001</v>
      </c>
      <c r="L687" s="159" t="s">
        <v>5</v>
      </c>
    </row>
    <row r="688" spans="1:12" ht="15" customHeight="1" x14ac:dyDescent="0.2">
      <c r="A688" s="379"/>
      <c r="K688" s="143"/>
    </row>
    <row r="689" spans="1:12" ht="15" customHeight="1" x14ac:dyDescent="0.2">
      <c r="A689" s="379" t="s">
        <v>771</v>
      </c>
      <c r="B689" s="561" t="str">
        <f>'Planilha Orçamentária'!D160</f>
        <v>Fio ou cabo de cobre termoplástico, com isolamento para 750V, seção de 4.0 mm²</v>
      </c>
      <c r="C689" s="562"/>
      <c r="D689" s="562"/>
      <c r="E689" s="562"/>
      <c r="F689" s="562"/>
      <c r="G689" s="562"/>
      <c r="H689" s="562"/>
      <c r="I689" s="562"/>
      <c r="J689" s="562"/>
      <c r="K689" s="563"/>
    </row>
    <row r="690" spans="1:12" ht="15" customHeight="1" x14ac:dyDescent="0.2">
      <c r="A690" s="379"/>
      <c r="B690" s="242" t="s">
        <v>267</v>
      </c>
      <c r="C690" s="249"/>
      <c r="D690" s="18">
        <v>60.6</v>
      </c>
      <c r="E690" s="249"/>
      <c r="F690" s="249"/>
      <c r="G690" s="249"/>
      <c r="H690" s="249"/>
      <c r="I690" s="298"/>
      <c r="J690" s="298"/>
      <c r="K690" s="143">
        <f>D690</f>
        <v>60.6</v>
      </c>
    </row>
    <row r="691" spans="1:12" ht="15" customHeight="1" x14ac:dyDescent="0.2">
      <c r="A691" s="379"/>
      <c r="B691" s="242" t="s">
        <v>188</v>
      </c>
      <c r="D691" s="18">
        <v>342.22</v>
      </c>
      <c r="E691" s="243"/>
      <c r="F691" s="243"/>
      <c r="G691" s="243"/>
      <c r="H691" s="243"/>
      <c r="I691" s="243"/>
      <c r="J691" s="243"/>
      <c r="K691" s="143">
        <f>D691</f>
        <v>342.22</v>
      </c>
    </row>
    <row r="692" spans="1:12" ht="15" customHeight="1" x14ac:dyDescent="0.2">
      <c r="A692" s="379"/>
      <c r="B692" s="154" t="s">
        <v>47</v>
      </c>
      <c r="C692" s="153"/>
      <c r="D692" s="153"/>
      <c r="E692" s="153"/>
      <c r="F692" s="153"/>
      <c r="G692" s="153"/>
      <c r="H692" s="153"/>
      <c r="I692" s="153"/>
      <c r="J692" s="153"/>
      <c r="K692" s="159">
        <f>SUM(K690:K691)</f>
        <v>402.82000000000005</v>
      </c>
      <c r="L692" s="159" t="s">
        <v>5</v>
      </c>
    </row>
    <row r="693" spans="1:12" ht="15" customHeight="1" x14ac:dyDescent="0.2">
      <c r="A693" s="379"/>
      <c r="K693" s="143"/>
    </row>
    <row r="694" spans="1:12" ht="15" customHeight="1" x14ac:dyDescent="0.2">
      <c r="A694" s="379" t="s">
        <v>772</v>
      </c>
      <c r="B694" s="561" t="str">
        <f>'Planilha Orçamentária'!D161</f>
        <v>Fio ou cabo de cobre termoplástico, com isolamento para 750V, seção de 16.0 mm²</v>
      </c>
      <c r="C694" s="562"/>
      <c r="D694" s="562"/>
      <c r="E694" s="562"/>
      <c r="F694" s="562"/>
      <c r="G694" s="562"/>
      <c r="H694" s="562"/>
      <c r="I694" s="562"/>
      <c r="J694" s="562"/>
      <c r="K694" s="563"/>
    </row>
    <row r="695" spans="1:12" ht="15" customHeight="1" x14ac:dyDescent="0.2">
      <c r="A695" s="379"/>
      <c r="B695" s="242" t="s">
        <v>610</v>
      </c>
      <c r="D695" s="18">
        <v>2.04</v>
      </c>
      <c r="E695" s="243"/>
      <c r="F695" s="243"/>
      <c r="G695" s="243"/>
      <c r="H695" s="243"/>
      <c r="I695" s="243"/>
      <c r="J695" s="243"/>
      <c r="K695" s="143">
        <f>D695</f>
        <v>2.04</v>
      </c>
    </row>
    <row r="696" spans="1:12" ht="15" customHeight="1" x14ac:dyDescent="0.2">
      <c r="A696" s="379"/>
      <c r="B696" s="154" t="s">
        <v>47</v>
      </c>
      <c r="C696" s="153"/>
      <c r="D696" s="153"/>
      <c r="E696" s="153"/>
      <c r="F696" s="153"/>
      <c r="G696" s="153"/>
      <c r="H696" s="153"/>
      <c r="I696" s="153"/>
      <c r="J696" s="153"/>
      <c r="K696" s="159">
        <f>SUM(K695:K695)</f>
        <v>2.04</v>
      </c>
      <c r="L696" s="159" t="s">
        <v>5</v>
      </c>
    </row>
    <row r="697" spans="1:12" ht="15" customHeight="1" x14ac:dyDescent="0.2">
      <c r="A697" s="379"/>
      <c r="K697" s="143"/>
    </row>
    <row r="698" spans="1:12" ht="15" customHeight="1" x14ac:dyDescent="0.2">
      <c r="A698" s="379" t="s">
        <v>773</v>
      </c>
      <c r="B698" s="561" t="str">
        <f>'Planilha Orçamentária'!D162</f>
        <v>Cabo de cobre termoplástico, com isolamento para 1000V, seção de 95.0 mm2</v>
      </c>
      <c r="C698" s="562"/>
      <c r="D698" s="562"/>
      <c r="E698" s="562"/>
      <c r="F698" s="562"/>
      <c r="G698" s="562"/>
      <c r="H698" s="562"/>
      <c r="I698" s="562"/>
      <c r="J698" s="562"/>
      <c r="K698" s="563"/>
    </row>
    <row r="699" spans="1:12" ht="15" customHeight="1" x14ac:dyDescent="0.2">
      <c r="A699" s="379"/>
      <c r="B699" s="242" t="s">
        <v>615</v>
      </c>
      <c r="D699" s="18">
        <v>4.96</v>
      </c>
      <c r="E699" s="243"/>
      <c r="F699" s="243"/>
      <c r="G699" s="243"/>
      <c r="H699" s="243"/>
      <c r="I699" s="243"/>
      <c r="J699" s="243"/>
      <c r="K699" s="143">
        <f>D699</f>
        <v>4.96</v>
      </c>
    </row>
    <row r="700" spans="1:12" ht="15" customHeight="1" x14ac:dyDescent="0.2">
      <c r="A700" s="379"/>
      <c r="B700" s="154" t="s">
        <v>47</v>
      </c>
      <c r="C700" s="153"/>
      <c r="D700" s="153"/>
      <c r="E700" s="153"/>
      <c r="F700" s="153"/>
      <c r="G700" s="153"/>
      <c r="H700" s="153"/>
      <c r="I700" s="153"/>
      <c r="J700" s="153"/>
      <c r="K700" s="159">
        <f>SUM(K699:K699)</f>
        <v>4.96</v>
      </c>
      <c r="L700" s="159" t="s">
        <v>5</v>
      </c>
    </row>
    <row r="701" spans="1:12" ht="15" customHeight="1" x14ac:dyDescent="0.2">
      <c r="A701" s="379"/>
      <c r="K701" s="143"/>
    </row>
    <row r="702" spans="1:12" ht="15" customHeight="1" x14ac:dyDescent="0.2">
      <c r="A702" s="379" t="s">
        <v>774</v>
      </c>
      <c r="B702" s="561" t="str">
        <f>'Planilha Orçamentária'!D163</f>
        <v>Eletroduto flexível corrugado, PVC, DN 25 mm (3/4"), para ciurcuitos terminais, instalado em parede - fornecimento e instalação.</v>
      </c>
      <c r="C702" s="562"/>
      <c r="D702" s="562"/>
      <c r="E702" s="562"/>
      <c r="F702" s="562"/>
      <c r="G702" s="562"/>
      <c r="H702" s="562"/>
      <c r="I702" s="562"/>
      <c r="J702" s="562"/>
      <c r="K702" s="563"/>
    </row>
    <row r="703" spans="1:12" ht="15" customHeight="1" x14ac:dyDescent="0.2">
      <c r="A703" s="379"/>
      <c r="B703" s="242" t="s">
        <v>291</v>
      </c>
      <c r="D703" s="18">
        <v>198.89</v>
      </c>
      <c r="E703" s="243"/>
      <c r="F703" s="243"/>
      <c r="G703" s="243"/>
      <c r="H703" s="243"/>
      <c r="I703" s="243"/>
      <c r="J703" s="243"/>
      <c r="K703" s="143">
        <f>D703</f>
        <v>198.89</v>
      </c>
    </row>
    <row r="704" spans="1:12" ht="15" customHeight="1" x14ac:dyDescent="0.2">
      <c r="A704" s="379"/>
      <c r="B704" s="242" t="s">
        <v>292</v>
      </c>
      <c r="D704" s="18">
        <v>402.82</v>
      </c>
      <c r="E704" s="243"/>
      <c r="F704" s="243"/>
      <c r="G704" s="243"/>
      <c r="H704" s="243"/>
      <c r="I704" s="243"/>
      <c r="J704" s="243"/>
      <c r="K704" s="143">
        <f>D704</f>
        <v>402.82</v>
      </c>
    </row>
    <row r="705" spans="1:12" ht="15" customHeight="1" x14ac:dyDescent="0.2">
      <c r="A705" s="379"/>
      <c r="B705" s="154" t="s">
        <v>47</v>
      </c>
      <c r="C705" s="153"/>
      <c r="D705" s="153"/>
      <c r="E705" s="153"/>
      <c r="F705" s="153"/>
      <c r="G705" s="153"/>
      <c r="H705" s="153"/>
      <c r="I705" s="153"/>
      <c r="J705" s="153"/>
      <c r="K705" s="159">
        <f>SUM(K703:K704)</f>
        <v>601.71</v>
      </c>
      <c r="L705" s="159" t="s">
        <v>5</v>
      </c>
    </row>
    <row r="706" spans="1:12" ht="15" customHeight="1" x14ac:dyDescent="0.2">
      <c r="A706" s="379"/>
      <c r="K706" s="143"/>
    </row>
    <row r="707" spans="1:12" ht="15" customHeight="1" x14ac:dyDescent="0.2">
      <c r="A707" s="379" t="s">
        <v>775</v>
      </c>
      <c r="B707" s="561" t="str">
        <f>'Planilha Orçamentária'!D164</f>
        <v>Eletroduto flexível corrugado, PEAD, DN 40 mm (1.1/4"), para ciurcuitos terminais, instalado em parede - fornecimento e instalação.</v>
      </c>
      <c r="C707" s="562"/>
      <c r="D707" s="562"/>
      <c r="E707" s="562"/>
      <c r="F707" s="562"/>
      <c r="G707" s="562"/>
      <c r="H707" s="562"/>
      <c r="I707" s="562"/>
      <c r="J707" s="562"/>
      <c r="K707" s="563"/>
    </row>
    <row r="708" spans="1:12" ht="15" customHeight="1" x14ac:dyDescent="0.2">
      <c r="A708" s="379"/>
      <c r="B708" s="242" t="s">
        <v>293</v>
      </c>
      <c r="D708" s="18">
        <v>2.04</v>
      </c>
      <c r="E708" s="243"/>
      <c r="F708" s="243"/>
      <c r="G708" s="243"/>
      <c r="H708" s="243"/>
      <c r="I708" s="243"/>
      <c r="J708" s="243"/>
      <c r="K708" s="143">
        <f>D708</f>
        <v>2.04</v>
      </c>
    </row>
    <row r="709" spans="1:12" ht="15" customHeight="1" x14ac:dyDescent="0.2">
      <c r="A709" s="379"/>
      <c r="B709" s="154" t="s">
        <v>47</v>
      </c>
      <c r="C709" s="153"/>
      <c r="D709" s="153"/>
      <c r="E709" s="153"/>
      <c r="F709" s="153"/>
      <c r="G709" s="153"/>
      <c r="H709" s="153"/>
      <c r="I709" s="153"/>
      <c r="J709" s="153"/>
      <c r="K709" s="159">
        <f>SUM(K708:K708)</f>
        <v>2.04</v>
      </c>
      <c r="L709" s="159" t="s">
        <v>5</v>
      </c>
    </row>
    <row r="710" spans="1:12" ht="15" customHeight="1" x14ac:dyDescent="0.2">
      <c r="A710" s="379"/>
      <c r="K710" s="143"/>
    </row>
    <row r="711" spans="1:12" ht="15" customHeight="1" x14ac:dyDescent="0.2">
      <c r="A711" s="379" t="s">
        <v>776</v>
      </c>
      <c r="B711" s="561" t="str">
        <f>'Planilha Orçamentária'!D165</f>
        <v>Eletroduto de PVC rígido roscável, diâm. 2" (60mm), inclusive conexões</v>
      </c>
      <c r="C711" s="562"/>
      <c r="D711" s="562"/>
      <c r="E711" s="562"/>
      <c r="F711" s="562"/>
      <c r="G711" s="562"/>
      <c r="H711" s="562"/>
      <c r="I711" s="562"/>
      <c r="J711" s="562"/>
      <c r="K711" s="563"/>
    </row>
    <row r="712" spans="1:12" ht="15" customHeight="1" x14ac:dyDescent="0.2">
      <c r="A712" s="379"/>
      <c r="B712" s="242" t="s">
        <v>620</v>
      </c>
      <c r="D712" s="18">
        <v>12</v>
      </c>
      <c r="E712" s="243"/>
      <c r="F712" s="243"/>
      <c r="G712" s="243"/>
      <c r="H712" s="243"/>
      <c r="I712" s="243"/>
      <c r="J712" s="243"/>
      <c r="K712" s="143">
        <f>D712</f>
        <v>12</v>
      </c>
    </row>
    <row r="713" spans="1:12" ht="15" customHeight="1" x14ac:dyDescent="0.2">
      <c r="A713" s="379"/>
      <c r="B713" s="154" t="s">
        <v>47</v>
      </c>
      <c r="C713" s="153"/>
      <c r="D713" s="153"/>
      <c r="E713" s="153"/>
      <c r="F713" s="153"/>
      <c r="G713" s="153"/>
      <c r="H713" s="153"/>
      <c r="I713" s="153"/>
      <c r="J713" s="153"/>
      <c r="K713" s="159">
        <f>SUM(K712:K712)</f>
        <v>12</v>
      </c>
      <c r="L713" s="159" t="s">
        <v>5</v>
      </c>
    </row>
    <row r="714" spans="1:12" ht="15" customHeight="1" x14ac:dyDescent="0.2">
      <c r="A714" s="379"/>
      <c r="K714" s="143"/>
    </row>
    <row r="715" spans="1:12" ht="15" customHeight="1" x14ac:dyDescent="0.2">
      <c r="A715" s="379" t="s">
        <v>777</v>
      </c>
      <c r="B715" s="561" t="str">
        <f>'Planilha Orçamentária'!D166</f>
        <v>Mini-Disjuntor monopolar 20 A, curva C - 5KA 220/127VCA (NBR IEC 60947-2), Ref. Siemens, GE, Schneider ou
equivalente</v>
      </c>
      <c r="C715" s="562"/>
      <c r="D715" s="562"/>
      <c r="E715" s="562"/>
      <c r="F715" s="562"/>
      <c r="G715" s="562"/>
      <c r="H715" s="562"/>
      <c r="I715" s="562"/>
      <c r="J715" s="562"/>
      <c r="K715" s="563"/>
    </row>
    <row r="716" spans="1:12" ht="15" customHeight="1" x14ac:dyDescent="0.2">
      <c r="A716" s="379"/>
      <c r="B716" s="242" t="s">
        <v>609</v>
      </c>
      <c r="C716" s="18">
        <v>2</v>
      </c>
      <c r="E716" s="349"/>
      <c r="F716" s="349"/>
      <c r="G716" s="349"/>
      <c r="H716" s="349"/>
      <c r="I716" s="349"/>
      <c r="J716" s="349"/>
      <c r="K716" s="143">
        <f>C716</f>
        <v>2</v>
      </c>
    </row>
    <row r="717" spans="1:12" ht="15" customHeight="1" x14ac:dyDescent="0.2">
      <c r="A717" s="379"/>
      <c r="B717" s="242" t="s">
        <v>611</v>
      </c>
      <c r="C717" s="18">
        <v>2</v>
      </c>
      <c r="E717" s="243"/>
      <c r="F717" s="243"/>
      <c r="G717" s="243"/>
      <c r="H717" s="243"/>
      <c r="I717" s="243"/>
      <c r="J717" s="243"/>
      <c r="K717" s="143">
        <f>C717</f>
        <v>2</v>
      </c>
    </row>
    <row r="718" spans="1:12" ht="15" customHeight="1" x14ac:dyDescent="0.2">
      <c r="A718" s="379"/>
      <c r="B718" s="154" t="s">
        <v>47</v>
      </c>
      <c r="C718" s="153"/>
      <c r="D718" s="153"/>
      <c r="E718" s="153"/>
      <c r="F718" s="153"/>
      <c r="G718" s="153"/>
      <c r="H718" s="153"/>
      <c r="I718" s="153"/>
      <c r="J718" s="153"/>
      <c r="K718" s="159">
        <f>SUM(K716:K717)</f>
        <v>4</v>
      </c>
      <c r="L718" s="159" t="s">
        <v>4</v>
      </c>
    </row>
    <row r="719" spans="1:12" ht="15" customHeight="1" x14ac:dyDescent="0.2">
      <c r="A719" s="379"/>
      <c r="B719" s="348"/>
      <c r="K719" s="171"/>
      <c r="L719" s="173"/>
    </row>
    <row r="720" spans="1:12" ht="15" customHeight="1" x14ac:dyDescent="0.2">
      <c r="A720" s="379" t="s">
        <v>778</v>
      </c>
      <c r="B720" s="561" t="str">
        <f>'Planilha Orçamentária'!D167</f>
        <v>Mini-Disjuntor bipolar 20 A, curva C - 5KA 220/127VCA (NBR IEC 60947-2), Ref. Siemens, GE, Schneider ou equivalente</v>
      </c>
      <c r="C720" s="562"/>
      <c r="D720" s="562"/>
      <c r="E720" s="562"/>
      <c r="F720" s="562"/>
      <c r="G720" s="562"/>
      <c r="H720" s="562"/>
      <c r="I720" s="562"/>
      <c r="J720" s="562"/>
      <c r="K720" s="563"/>
    </row>
    <row r="721" spans="1:12" ht="12.75" x14ac:dyDescent="0.2">
      <c r="A721" s="379"/>
      <c r="B721" s="242" t="s">
        <v>611</v>
      </c>
      <c r="C721" s="18">
        <v>1</v>
      </c>
      <c r="E721" s="243"/>
      <c r="F721" s="243"/>
      <c r="G721" s="243"/>
      <c r="H721" s="243"/>
      <c r="I721" s="243"/>
      <c r="J721" s="243"/>
      <c r="K721" s="143">
        <f>C721</f>
        <v>1</v>
      </c>
    </row>
    <row r="722" spans="1:12" ht="15" customHeight="1" x14ac:dyDescent="0.2">
      <c r="A722" s="379"/>
      <c r="B722" s="154" t="s">
        <v>47</v>
      </c>
      <c r="C722" s="153"/>
      <c r="D722" s="153"/>
      <c r="E722" s="153"/>
      <c r="F722" s="153"/>
      <c r="G722" s="153"/>
      <c r="H722" s="153"/>
      <c r="I722" s="153"/>
      <c r="J722" s="153"/>
      <c r="K722" s="159">
        <f>SUM(K721:K721)</f>
        <v>1</v>
      </c>
      <c r="L722" s="159" t="s">
        <v>4</v>
      </c>
    </row>
    <row r="723" spans="1:12" ht="15" customHeight="1" x14ac:dyDescent="0.2">
      <c r="A723" s="379"/>
      <c r="B723" s="244"/>
      <c r="K723" s="171"/>
      <c r="L723" s="173"/>
    </row>
    <row r="724" spans="1:12" ht="15" customHeight="1" x14ac:dyDescent="0.2">
      <c r="A724" s="379" t="s">
        <v>779</v>
      </c>
      <c r="B724" s="561" t="str">
        <f>'Planilha Orçamentária'!D168</f>
        <v>Mini-Disjuntor bipolar 25 A, curva C - 5KA 220/127VCA (NBR IEC 60947-2), Ref. Siemens, GE, Schneider ou equivalente</v>
      </c>
      <c r="C724" s="562"/>
      <c r="D724" s="562"/>
      <c r="E724" s="562"/>
      <c r="F724" s="562"/>
      <c r="G724" s="562"/>
      <c r="H724" s="562"/>
      <c r="I724" s="562"/>
      <c r="J724" s="562"/>
      <c r="K724" s="563"/>
    </row>
    <row r="725" spans="1:12" ht="15" customHeight="1" x14ac:dyDescent="0.2">
      <c r="A725" s="379"/>
      <c r="B725" s="242" t="s">
        <v>611</v>
      </c>
      <c r="C725" s="18">
        <v>2</v>
      </c>
      <c r="E725" s="243"/>
      <c r="F725" s="243"/>
      <c r="G725" s="243"/>
      <c r="H725" s="243"/>
      <c r="I725" s="243"/>
      <c r="J725" s="243"/>
      <c r="K725" s="143">
        <f>C725</f>
        <v>2</v>
      </c>
    </row>
    <row r="726" spans="1:12" ht="15" customHeight="1" x14ac:dyDescent="0.2">
      <c r="A726" s="379"/>
      <c r="B726" s="154" t="s">
        <v>47</v>
      </c>
      <c r="C726" s="153"/>
      <c r="D726" s="153"/>
      <c r="E726" s="153"/>
      <c r="F726" s="153"/>
      <c r="G726" s="153"/>
      <c r="H726" s="153"/>
      <c r="I726" s="153"/>
      <c r="J726" s="153"/>
      <c r="K726" s="159">
        <f>SUM(K725:K725)</f>
        <v>2</v>
      </c>
      <c r="L726" s="159" t="s">
        <v>4</v>
      </c>
    </row>
    <row r="727" spans="1:12" ht="15" customHeight="1" x14ac:dyDescent="0.2">
      <c r="A727" s="379"/>
      <c r="B727" s="244"/>
      <c r="K727" s="171"/>
      <c r="L727" s="173"/>
    </row>
    <row r="728" spans="1:12" ht="12.75" x14ac:dyDescent="0.2">
      <c r="A728" s="379" t="s">
        <v>780</v>
      </c>
      <c r="B728" s="561" t="str">
        <f>'Planilha Orçamentária'!D169</f>
        <v>Mini-Disjuntor tripolar 25 A, curva C - 5KA 220/127VCA (NBR IEC 60947-2), Ref. Siemens, GE, Schneider ou equivalente</v>
      </c>
      <c r="C728" s="562"/>
      <c r="D728" s="562"/>
      <c r="E728" s="562"/>
      <c r="F728" s="562"/>
      <c r="G728" s="562"/>
      <c r="H728" s="562"/>
      <c r="I728" s="562"/>
      <c r="J728" s="562"/>
      <c r="K728" s="563"/>
    </row>
    <row r="729" spans="1:12" ht="12.75" x14ac:dyDescent="0.2">
      <c r="A729" s="379"/>
      <c r="B729" s="242" t="s">
        <v>612</v>
      </c>
      <c r="C729" s="18">
        <v>6</v>
      </c>
      <c r="E729" s="243"/>
      <c r="F729" s="243"/>
      <c r="G729" s="243"/>
      <c r="H729" s="243"/>
      <c r="I729" s="243"/>
      <c r="J729" s="243"/>
      <c r="K729" s="143">
        <f>C729</f>
        <v>6</v>
      </c>
    </row>
    <row r="730" spans="1:12" ht="12.75" x14ac:dyDescent="0.2">
      <c r="A730" s="379"/>
      <c r="B730" s="154" t="s">
        <v>47</v>
      </c>
      <c r="C730" s="153"/>
      <c r="D730" s="153"/>
      <c r="E730" s="153"/>
      <c r="F730" s="153"/>
      <c r="G730" s="153"/>
      <c r="H730" s="153"/>
      <c r="I730" s="153"/>
      <c r="J730" s="153"/>
      <c r="K730" s="159">
        <f>SUM(K729:K729)</f>
        <v>6</v>
      </c>
      <c r="L730" s="159" t="s">
        <v>4</v>
      </c>
    </row>
    <row r="731" spans="1:12" ht="15" customHeight="1" x14ac:dyDescent="0.2">
      <c r="A731" s="379"/>
      <c r="B731" s="244"/>
      <c r="K731" s="171"/>
      <c r="L731" s="173"/>
    </row>
    <row r="732" spans="1:12" ht="12.75" x14ac:dyDescent="0.2">
      <c r="A732" s="379" t="s">
        <v>781</v>
      </c>
      <c r="B732" s="561" t="str">
        <f>'Planilha Orçamentária'!D170</f>
        <v>Mini-Disjuntor tripolar 63 A, curva C - 5KA 220/127VCA (NBR IEC 60947-2), Ref. Siemens, GE, Schneider ou equivalente</v>
      </c>
      <c r="C732" s="562"/>
      <c r="D732" s="562"/>
      <c r="E732" s="562"/>
      <c r="F732" s="562"/>
      <c r="G732" s="562"/>
      <c r="H732" s="562"/>
      <c r="I732" s="562"/>
      <c r="J732" s="562"/>
      <c r="K732" s="563"/>
    </row>
    <row r="733" spans="1:12" ht="12.75" x14ac:dyDescent="0.2">
      <c r="A733" s="379"/>
      <c r="B733" s="242" t="s">
        <v>613</v>
      </c>
      <c r="C733" s="18">
        <v>1</v>
      </c>
      <c r="E733" s="243"/>
      <c r="F733" s="243"/>
      <c r="G733" s="243"/>
      <c r="H733" s="243"/>
      <c r="I733" s="243"/>
      <c r="J733" s="243"/>
      <c r="K733" s="143">
        <f>C733</f>
        <v>1</v>
      </c>
    </row>
    <row r="734" spans="1:12" ht="15" customHeight="1" x14ac:dyDescent="0.2">
      <c r="A734" s="379"/>
      <c r="B734" s="154" t="s">
        <v>47</v>
      </c>
      <c r="C734" s="153"/>
      <c r="D734" s="153"/>
      <c r="E734" s="153"/>
      <c r="F734" s="153"/>
      <c r="G734" s="153"/>
      <c r="H734" s="153"/>
      <c r="I734" s="153"/>
      <c r="J734" s="153"/>
      <c r="K734" s="159">
        <f>SUM(K733:K733)</f>
        <v>1</v>
      </c>
      <c r="L734" s="159" t="s">
        <v>4</v>
      </c>
    </row>
    <row r="735" spans="1:12" ht="12.75" x14ac:dyDescent="0.2">
      <c r="A735" s="379"/>
      <c r="B735" s="250"/>
      <c r="K735" s="171"/>
      <c r="L735" s="173"/>
    </row>
    <row r="736" spans="1:12" ht="12.75" x14ac:dyDescent="0.2">
      <c r="A736" s="379" t="s">
        <v>782</v>
      </c>
      <c r="B736" s="561" t="str">
        <f>'Planilha Orçamentária'!D171</f>
        <v>Disjuntor Compacto em caixa moldada tripolar 200 A, 50KA 220/240V / 25KA 380/415V 20KA/440V (NBR IEC 60947-2),
Ref. Siemens, GE, Schneider ou equivalente</v>
      </c>
      <c r="C736" s="562"/>
      <c r="D736" s="562"/>
      <c r="E736" s="562"/>
      <c r="F736" s="562"/>
      <c r="G736" s="562"/>
      <c r="H736" s="562"/>
      <c r="I736" s="562"/>
      <c r="J736" s="562"/>
      <c r="K736" s="563"/>
    </row>
    <row r="737" spans="1:12" ht="12.75" x14ac:dyDescent="0.2">
      <c r="A737" s="379"/>
      <c r="B737" s="242" t="s">
        <v>616</v>
      </c>
      <c r="C737" s="18">
        <v>1</v>
      </c>
      <c r="E737" s="243"/>
      <c r="F737" s="243"/>
      <c r="G737" s="243"/>
      <c r="H737" s="243"/>
      <c r="I737" s="243"/>
      <c r="J737" s="243"/>
      <c r="K737" s="143">
        <f>C737</f>
        <v>1</v>
      </c>
    </row>
    <row r="738" spans="1:12" ht="12.75" x14ac:dyDescent="0.2">
      <c r="A738" s="379"/>
      <c r="B738" s="242" t="s">
        <v>612</v>
      </c>
      <c r="C738" s="18">
        <v>1</v>
      </c>
      <c r="E738" s="243"/>
      <c r="F738" s="243"/>
      <c r="G738" s="243"/>
      <c r="H738" s="243"/>
      <c r="I738" s="243"/>
      <c r="J738" s="243"/>
      <c r="K738" s="143">
        <f>C738</f>
        <v>1</v>
      </c>
    </row>
    <row r="739" spans="1:12" ht="12.75" x14ac:dyDescent="0.2">
      <c r="A739" s="379"/>
      <c r="B739" s="154" t="s">
        <v>47</v>
      </c>
      <c r="C739" s="153"/>
      <c r="D739" s="153"/>
      <c r="E739" s="153"/>
      <c r="F739" s="153"/>
      <c r="G739" s="153"/>
      <c r="H739" s="153"/>
      <c r="I739" s="153"/>
      <c r="J739" s="153"/>
      <c r="K739" s="159">
        <f>SUM(K737:K738)</f>
        <v>2</v>
      </c>
      <c r="L739" s="159" t="s">
        <v>4</v>
      </c>
    </row>
    <row r="740" spans="1:12" ht="12.75" x14ac:dyDescent="0.2">
      <c r="A740" s="379"/>
      <c r="B740" s="244"/>
      <c r="K740" s="171"/>
      <c r="L740" s="173"/>
    </row>
    <row r="741" spans="1:12" ht="12.75" x14ac:dyDescent="0.2">
      <c r="A741" s="379" t="s">
        <v>783</v>
      </c>
      <c r="B741" s="561" t="str">
        <f>'Planilha Orçamentária'!D172</f>
        <v>Disjuntor diferencial residual bipolar 25A, fornecimento e instalação</v>
      </c>
      <c r="C741" s="562"/>
      <c r="D741" s="562"/>
      <c r="E741" s="562"/>
      <c r="F741" s="562"/>
      <c r="G741" s="562"/>
      <c r="H741" s="562"/>
      <c r="I741" s="562"/>
      <c r="J741" s="562"/>
      <c r="K741" s="563"/>
    </row>
    <row r="742" spans="1:12" ht="12.75" x14ac:dyDescent="0.2">
      <c r="A742" s="379"/>
      <c r="B742" s="242" t="s">
        <v>617</v>
      </c>
      <c r="C742" s="18">
        <v>1</v>
      </c>
      <c r="E742" s="243"/>
      <c r="F742" s="243"/>
      <c r="G742" s="243"/>
      <c r="H742" s="243"/>
      <c r="I742" s="243"/>
      <c r="J742" s="243"/>
      <c r="K742" s="143">
        <f>C742</f>
        <v>1</v>
      </c>
    </row>
    <row r="743" spans="1:12" ht="15" customHeight="1" x14ac:dyDescent="0.2">
      <c r="A743" s="379"/>
      <c r="B743" s="154" t="s">
        <v>47</v>
      </c>
      <c r="C743" s="153"/>
      <c r="D743" s="153"/>
      <c r="E743" s="153"/>
      <c r="F743" s="153"/>
      <c r="G743" s="153"/>
      <c r="H743" s="153"/>
      <c r="I743" s="153"/>
      <c r="J743" s="153"/>
      <c r="K743" s="159">
        <f>SUM(K742:K742)</f>
        <v>1</v>
      </c>
      <c r="L743" s="159" t="s">
        <v>4</v>
      </c>
    </row>
    <row r="744" spans="1:12" ht="15" customHeight="1" x14ac:dyDescent="0.2">
      <c r="A744" s="379"/>
      <c r="B744" s="244"/>
      <c r="K744" s="171"/>
      <c r="L744" s="173"/>
    </row>
    <row r="745" spans="1:12" ht="24.75" customHeight="1" x14ac:dyDescent="0.2">
      <c r="A745" s="379" t="s">
        <v>784</v>
      </c>
      <c r="B745" s="558" t="str">
        <f>'Planilha Orçamentária'!D173</f>
        <v>Quadro distrib. energia, embutido ou semi embutido, capac. p/ 16 disj. DIN, c/barram trif. 100A barra. neutro e terra, fab.
em chapa de aço 12 USG com porta, espelho, trinco com fechad ch yale, Ref. QDTN II-16DIN-CEMAR ou equiv.</v>
      </c>
      <c r="C745" s="559"/>
      <c r="D745" s="559"/>
      <c r="E745" s="559"/>
      <c r="F745" s="559"/>
      <c r="G745" s="559"/>
      <c r="H745" s="559"/>
      <c r="I745" s="559"/>
      <c r="J745" s="559"/>
      <c r="K745" s="560"/>
    </row>
    <row r="746" spans="1:12" ht="12.75" x14ac:dyDescent="0.2">
      <c r="A746" s="379"/>
      <c r="B746" s="242" t="s">
        <v>611</v>
      </c>
      <c r="C746" s="18">
        <v>1</v>
      </c>
      <c r="E746" s="243"/>
      <c r="F746" s="243"/>
      <c r="G746" s="243"/>
      <c r="H746" s="243"/>
      <c r="I746" s="243"/>
      <c r="J746" s="243"/>
      <c r="K746" s="143">
        <f>C746</f>
        <v>1</v>
      </c>
    </row>
    <row r="747" spans="1:12" ht="15" customHeight="1" x14ac:dyDescent="0.2">
      <c r="A747" s="379"/>
      <c r="B747" s="154" t="s">
        <v>47</v>
      </c>
      <c r="C747" s="153"/>
      <c r="D747" s="153"/>
      <c r="E747" s="153"/>
      <c r="F747" s="153"/>
      <c r="G747" s="153"/>
      <c r="H747" s="153"/>
      <c r="I747" s="153"/>
      <c r="J747" s="153"/>
      <c r="K747" s="159">
        <f>SUM(K746:K746)</f>
        <v>1</v>
      </c>
      <c r="L747" s="159" t="s">
        <v>4</v>
      </c>
    </row>
    <row r="748" spans="1:12" ht="12.75" x14ac:dyDescent="0.2">
      <c r="A748" s="379"/>
      <c r="B748" s="248"/>
      <c r="K748" s="171"/>
      <c r="L748" s="173"/>
    </row>
    <row r="749" spans="1:12" ht="27.75" customHeight="1" x14ac:dyDescent="0.2">
      <c r="A749" s="379" t="s">
        <v>785</v>
      </c>
      <c r="B749" s="558" t="str">
        <f>'Planilha Orçamentária'!D174</f>
        <v>Quadro distrib. energia, embutido ou semi embutido, capac. p/ 44 disj. DIN, c/barram trif. 100A barra. neutro e terra, fab.
em chapa de aço 12 USG com porta, espelho, trinco com fechad ch yale, Ref. QDTN II-44DIN-CEMAR ou equiv</v>
      </c>
      <c r="C749" s="559"/>
      <c r="D749" s="559"/>
      <c r="E749" s="559"/>
      <c r="F749" s="559"/>
      <c r="G749" s="559"/>
      <c r="H749" s="559"/>
      <c r="I749" s="559"/>
      <c r="J749" s="559"/>
      <c r="K749" s="560"/>
    </row>
    <row r="750" spans="1:12" ht="12.75" x14ac:dyDescent="0.2">
      <c r="A750" s="379"/>
      <c r="B750" s="242" t="s">
        <v>612</v>
      </c>
      <c r="C750" s="18">
        <v>1</v>
      </c>
      <c r="E750" s="243"/>
      <c r="F750" s="243"/>
      <c r="G750" s="243"/>
      <c r="H750" s="243"/>
      <c r="I750" s="243"/>
      <c r="J750" s="243"/>
      <c r="K750" s="143">
        <f>C750</f>
        <v>1</v>
      </c>
    </row>
    <row r="751" spans="1:12" ht="15" customHeight="1" x14ac:dyDescent="0.2">
      <c r="A751" s="379"/>
      <c r="B751" s="154" t="s">
        <v>47</v>
      </c>
      <c r="C751" s="153"/>
      <c r="D751" s="153"/>
      <c r="E751" s="153"/>
      <c r="F751" s="153"/>
      <c r="G751" s="153"/>
      <c r="H751" s="153"/>
      <c r="I751" s="153"/>
      <c r="J751" s="153"/>
      <c r="K751" s="159">
        <f>SUM(K750:K750)</f>
        <v>1</v>
      </c>
      <c r="L751" s="159" t="s">
        <v>4</v>
      </c>
    </row>
    <row r="752" spans="1:12" ht="15" customHeight="1" x14ac:dyDescent="0.2">
      <c r="A752" s="379"/>
      <c r="B752" s="248"/>
      <c r="K752" s="171"/>
      <c r="L752" s="173"/>
    </row>
    <row r="753" spans="1:12" ht="15" customHeight="1" x14ac:dyDescent="0.2">
      <c r="A753" s="379" t="s">
        <v>786</v>
      </c>
      <c r="B753" s="558" t="str">
        <f>'Planilha Orçamentária'!D175</f>
        <v>Poste de concreto DT, para padrão de entrada, 200 kg, h = 9 m (NBR 8451)</v>
      </c>
      <c r="C753" s="559"/>
      <c r="D753" s="559"/>
      <c r="E753" s="559"/>
      <c r="F753" s="559"/>
      <c r="G753" s="559"/>
      <c r="H753" s="559"/>
      <c r="I753" s="559"/>
      <c r="J753" s="559"/>
      <c r="K753" s="560"/>
    </row>
    <row r="754" spans="1:12" ht="15" customHeight="1" x14ac:dyDescent="0.2">
      <c r="A754" s="379"/>
      <c r="B754" s="242" t="s">
        <v>614</v>
      </c>
      <c r="C754" s="18">
        <v>1</v>
      </c>
      <c r="E754" s="243"/>
      <c r="F754" s="243"/>
      <c r="G754" s="243"/>
      <c r="H754" s="243"/>
      <c r="I754" s="243"/>
      <c r="J754" s="243"/>
      <c r="K754" s="143">
        <f>C754</f>
        <v>1</v>
      </c>
    </row>
    <row r="755" spans="1:12" ht="15" customHeight="1" x14ac:dyDescent="0.2">
      <c r="A755" s="379"/>
      <c r="B755" s="154" t="s">
        <v>47</v>
      </c>
      <c r="C755" s="153"/>
      <c r="D755" s="153"/>
      <c r="E755" s="153"/>
      <c r="F755" s="153"/>
      <c r="G755" s="153"/>
      <c r="H755" s="153"/>
      <c r="I755" s="153"/>
      <c r="J755" s="153"/>
      <c r="K755" s="159">
        <f>SUM(K754:K754)</f>
        <v>1</v>
      </c>
      <c r="L755" s="159" t="s">
        <v>4</v>
      </c>
    </row>
    <row r="756" spans="1:12" ht="15" customHeight="1" x14ac:dyDescent="0.2">
      <c r="A756" s="379"/>
      <c r="B756" s="402"/>
      <c r="K756" s="171"/>
      <c r="L756" s="173"/>
    </row>
    <row r="757" spans="1:12" ht="15" customHeight="1" x14ac:dyDescent="0.2">
      <c r="A757" s="379" t="s">
        <v>872</v>
      </c>
      <c r="B757" s="561" t="str">
        <f>'Planilha Orçamentária'!D176</f>
        <v>Padrão de entrada de energia elétrica, trifásico, entrada aérea, a 4 fios, carga instalada em muro de 57001 até 75000W - 220/127V</v>
      </c>
      <c r="C757" s="562"/>
      <c r="D757" s="562"/>
      <c r="E757" s="562"/>
      <c r="F757" s="562"/>
      <c r="G757" s="562"/>
      <c r="H757" s="562"/>
      <c r="I757" s="562"/>
      <c r="J757" s="562"/>
      <c r="K757" s="563"/>
    </row>
    <row r="758" spans="1:12" ht="15" customHeight="1" x14ac:dyDescent="0.2">
      <c r="A758" s="379"/>
      <c r="B758" s="242" t="s">
        <v>614</v>
      </c>
      <c r="C758" s="18">
        <v>1</v>
      </c>
      <c r="E758" s="243"/>
      <c r="F758" s="243"/>
      <c r="G758" s="243"/>
      <c r="H758" s="243"/>
      <c r="I758" s="243"/>
      <c r="J758" s="243"/>
      <c r="K758" s="143">
        <f>C758</f>
        <v>1</v>
      </c>
    </row>
    <row r="759" spans="1:12" ht="15" customHeight="1" x14ac:dyDescent="0.2">
      <c r="A759" s="379"/>
      <c r="B759" s="154" t="s">
        <v>47</v>
      </c>
      <c r="C759" s="153"/>
      <c r="D759" s="153"/>
      <c r="E759" s="153"/>
      <c r="F759" s="153"/>
      <c r="G759" s="153"/>
      <c r="H759" s="153"/>
      <c r="I759" s="153"/>
      <c r="J759" s="153"/>
      <c r="K759" s="159">
        <f>SUM(K758:K758)</f>
        <v>1</v>
      </c>
      <c r="L759" s="159" t="s">
        <v>4</v>
      </c>
    </row>
    <row r="760" spans="1:12" ht="15" customHeight="1" x14ac:dyDescent="0.2">
      <c r="A760" s="18"/>
      <c r="K760" s="143"/>
    </row>
    <row r="761" spans="1:12" ht="15" customHeight="1" x14ac:dyDescent="0.2">
      <c r="A761" s="380" t="s">
        <v>787</v>
      </c>
      <c r="B761" s="352" t="str">
        <f>'Planilha Orçamentária'!D179</f>
        <v>PINTURA</v>
      </c>
      <c r="K761" s="143"/>
    </row>
    <row r="762" spans="1:12" ht="15" customHeight="1" x14ac:dyDescent="0.2">
      <c r="A762" s="379" t="s">
        <v>788</v>
      </c>
      <c r="B762" s="351" t="str">
        <f>'Planilha Orçamentária'!D180</f>
        <v>Aplicação manual de pintura com tinta látex PVA em teto, duas demãos</v>
      </c>
      <c r="K762" s="143"/>
    </row>
    <row r="763" spans="1:12" ht="15" customHeight="1" x14ac:dyDescent="0.2">
      <c r="A763" s="379"/>
      <c r="B763" s="160" t="s">
        <v>621</v>
      </c>
      <c r="C763" s="18">
        <v>2</v>
      </c>
      <c r="G763" s="18">
        <v>8.85</v>
      </c>
      <c r="K763" s="143">
        <f>TRUNC(G763*C763,2)</f>
        <v>17.7</v>
      </c>
    </row>
    <row r="764" spans="1:12" ht="15" customHeight="1" x14ac:dyDescent="0.2">
      <c r="A764" s="379"/>
      <c r="B764" s="154" t="s">
        <v>47</v>
      </c>
      <c r="C764" s="153"/>
      <c r="D764" s="153"/>
      <c r="E764" s="153"/>
      <c r="F764" s="153"/>
      <c r="G764" s="153"/>
      <c r="H764" s="153"/>
      <c r="I764" s="153"/>
      <c r="J764" s="153"/>
      <c r="K764" s="159">
        <f>K763</f>
        <v>17.7</v>
      </c>
      <c r="L764" s="159" t="s">
        <v>6</v>
      </c>
    </row>
    <row r="765" spans="1:12" ht="15" customHeight="1" x14ac:dyDescent="0.2">
      <c r="A765" s="379"/>
      <c r="B765" s="160"/>
      <c r="K765" s="143"/>
    </row>
    <row r="766" spans="1:12" ht="15" customHeight="1" x14ac:dyDescent="0.2">
      <c r="A766" s="379" t="s">
        <v>789</v>
      </c>
      <c r="B766" s="351" t="str">
        <f>'Planilha Orçamentária'!D181</f>
        <v>Aplicação manual de pintura com tinta látex acrílica em paredes, duas demãos</v>
      </c>
      <c r="K766" s="143"/>
    </row>
    <row r="767" spans="1:12" ht="15" customHeight="1" x14ac:dyDescent="0.2">
      <c r="A767" s="379"/>
      <c r="B767" s="122" t="s">
        <v>207</v>
      </c>
      <c r="C767" s="40"/>
      <c r="D767" s="40"/>
      <c r="E767" s="144"/>
      <c r="F767" s="40"/>
      <c r="G767" s="40">
        <v>50.85</v>
      </c>
      <c r="H767" s="144"/>
      <c r="I767" s="144"/>
      <c r="J767" s="40">
        <f>(5.15*0.8)+(0.8*2.1)+(2.2*0.8)</f>
        <v>7.5600000000000005</v>
      </c>
      <c r="K767" s="123">
        <f t="shared" ref="K767" si="46">TRUNC(G767-J767,2)</f>
        <v>43.29</v>
      </c>
    </row>
    <row r="768" spans="1:12" ht="15" customHeight="1" x14ac:dyDescent="0.2">
      <c r="A768" s="379"/>
      <c r="B768" s="112" t="s">
        <v>622</v>
      </c>
      <c r="C768" s="40"/>
      <c r="D768" s="40"/>
      <c r="E768" s="144"/>
      <c r="F768" s="40"/>
      <c r="G768" s="40">
        <f>2.8+(0.35*4*2*6)+2.16</f>
        <v>21.759999999999998</v>
      </c>
      <c r="H768" s="144"/>
      <c r="I768" s="144"/>
      <c r="J768" s="40">
        <v>0</v>
      </c>
      <c r="K768" s="123">
        <f t="shared" ref="K768:K777" si="47">TRUNC(G768-J768,2)</f>
        <v>21.76</v>
      </c>
    </row>
    <row r="769" spans="1:12" ht="15" customHeight="1" x14ac:dyDescent="0.2">
      <c r="A769" s="379"/>
      <c r="B769" s="112" t="s">
        <v>570</v>
      </c>
      <c r="C769" s="40"/>
      <c r="D769" s="40">
        <f>2*6.65+2*2.3</f>
        <v>17.899999999999999</v>
      </c>
      <c r="E769" s="144"/>
      <c r="F769" s="40">
        <v>3</v>
      </c>
      <c r="G769" s="40">
        <f t="shared" ref="G769:G776" si="48">TRUNC(F769*D769,2)</f>
        <v>53.7</v>
      </c>
      <c r="H769" s="144"/>
      <c r="I769" s="144"/>
      <c r="J769" s="40">
        <f>2.3*0.8+5.15*0.8+0.8*2.1</f>
        <v>7.6400000000000006</v>
      </c>
      <c r="K769" s="123">
        <f t="shared" si="47"/>
        <v>46.06</v>
      </c>
    </row>
    <row r="770" spans="1:12" ht="15" customHeight="1" x14ac:dyDescent="0.2">
      <c r="A770" s="379"/>
      <c r="B770" s="112" t="s">
        <v>572</v>
      </c>
      <c r="C770" s="40"/>
      <c r="D770" s="40">
        <f>2*3+2*2.3</f>
        <v>10.6</v>
      </c>
      <c r="E770" s="144"/>
      <c r="F770" s="40">
        <v>3</v>
      </c>
      <c r="G770" s="40">
        <f t="shared" si="48"/>
        <v>31.8</v>
      </c>
      <c r="H770" s="144"/>
      <c r="I770" s="144"/>
      <c r="J770" s="40">
        <f>1.5*1.2+0.8*2.1</f>
        <v>3.48</v>
      </c>
      <c r="K770" s="123">
        <f t="shared" si="47"/>
        <v>28.32</v>
      </c>
    </row>
    <row r="771" spans="1:12" ht="15" customHeight="1" x14ac:dyDescent="0.2">
      <c r="A771" s="379"/>
      <c r="B771" s="112" t="s">
        <v>573</v>
      </c>
      <c r="C771" s="40"/>
      <c r="D771" s="40">
        <f>4.85+3.5+2.3+1.15+1.35+1.15</f>
        <v>14.299999999999999</v>
      </c>
      <c r="E771" s="144"/>
      <c r="F771" s="40">
        <v>3</v>
      </c>
      <c r="G771" s="40">
        <f t="shared" si="48"/>
        <v>42.9</v>
      </c>
      <c r="H771" s="144"/>
      <c r="I771" s="144"/>
      <c r="J771" s="40">
        <f>0.8*2.1*2+2*1.2</f>
        <v>5.76</v>
      </c>
      <c r="K771" s="123">
        <f t="shared" si="47"/>
        <v>37.14</v>
      </c>
    </row>
    <row r="772" spans="1:12" ht="15" customHeight="1" x14ac:dyDescent="0.2">
      <c r="A772" s="379"/>
      <c r="B772" s="112" t="s">
        <v>574</v>
      </c>
      <c r="C772" s="40"/>
      <c r="D772" s="40">
        <f>3.45*2+1.2*2</f>
        <v>9.3000000000000007</v>
      </c>
      <c r="E772" s="144"/>
      <c r="F772" s="40">
        <v>3</v>
      </c>
      <c r="G772" s="40">
        <f t="shared" si="48"/>
        <v>27.9</v>
      </c>
      <c r="H772" s="144"/>
      <c r="I772" s="144"/>
      <c r="J772" s="40">
        <f>0.8*2.1*5</f>
        <v>8.4</v>
      </c>
      <c r="K772" s="123">
        <f t="shared" si="47"/>
        <v>19.5</v>
      </c>
    </row>
    <row r="773" spans="1:12" ht="15" customHeight="1" x14ac:dyDescent="0.2">
      <c r="A773" s="379"/>
      <c r="B773" s="112" t="s">
        <v>575</v>
      </c>
      <c r="C773" s="40"/>
      <c r="D773" s="40">
        <f>2.3*2+3.85*2</f>
        <v>12.3</v>
      </c>
      <c r="E773" s="144"/>
      <c r="F773" s="40">
        <v>3</v>
      </c>
      <c r="G773" s="40">
        <f t="shared" si="48"/>
        <v>36.9</v>
      </c>
      <c r="H773" s="144"/>
      <c r="I773" s="144"/>
      <c r="J773" s="40">
        <f>0.8*2.1+2.2*0.8+2*0.8</f>
        <v>5.0400000000000009</v>
      </c>
      <c r="K773" s="123">
        <f t="shared" si="47"/>
        <v>31.86</v>
      </c>
    </row>
    <row r="774" spans="1:12" ht="15" customHeight="1" x14ac:dyDescent="0.2">
      <c r="A774" s="379"/>
      <c r="B774" s="112" t="s">
        <v>576</v>
      </c>
      <c r="C774" s="40"/>
      <c r="D774" s="40">
        <f>2.3*2+3.85*2</f>
        <v>12.3</v>
      </c>
      <c r="E774" s="144"/>
      <c r="F774" s="40">
        <v>3</v>
      </c>
      <c r="G774" s="40">
        <f t="shared" si="48"/>
        <v>36.9</v>
      </c>
      <c r="H774" s="144"/>
      <c r="I774" s="144"/>
      <c r="J774" s="40">
        <f>0.8*2.1+2.2*0.8+2*0.8</f>
        <v>5.0400000000000009</v>
      </c>
      <c r="K774" s="123">
        <f t="shared" si="47"/>
        <v>31.86</v>
      </c>
    </row>
    <row r="775" spans="1:12" ht="15" customHeight="1" x14ac:dyDescent="0.2">
      <c r="A775" s="379"/>
      <c r="B775" s="112" t="s">
        <v>577</v>
      </c>
      <c r="C775" s="40"/>
      <c r="D775" s="40">
        <f>2+1.5*2+0.34*2+0.9+4</f>
        <v>10.58</v>
      </c>
      <c r="E775" s="144"/>
      <c r="F775" s="40">
        <v>1.1000000000000001</v>
      </c>
      <c r="G775" s="40">
        <f t="shared" si="48"/>
        <v>11.63</v>
      </c>
      <c r="H775" s="144"/>
      <c r="I775" s="144"/>
      <c r="J775" s="40">
        <v>0</v>
      </c>
      <c r="K775" s="123">
        <f t="shared" si="47"/>
        <v>11.63</v>
      </c>
    </row>
    <row r="776" spans="1:12" ht="15" customHeight="1" x14ac:dyDescent="0.2">
      <c r="A776" s="379"/>
      <c r="B776" s="112" t="s">
        <v>552</v>
      </c>
      <c r="C776" s="40"/>
      <c r="D776" s="40">
        <f>4.63*2+0.44*2+0.74</f>
        <v>10.88</v>
      </c>
      <c r="E776" s="144"/>
      <c r="F776" s="340">
        <v>1.075</v>
      </c>
      <c r="G776" s="40">
        <f t="shared" si="48"/>
        <v>11.69</v>
      </c>
      <c r="H776" s="144"/>
      <c r="I776" s="144"/>
      <c r="J776" s="40">
        <v>0</v>
      </c>
      <c r="K776" s="123">
        <f t="shared" si="47"/>
        <v>11.69</v>
      </c>
    </row>
    <row r="777" spans="1:12" ht="15" customHeight="1" x14ac:dyDescent="0.2">
      <c r="A777" s="379"/>
      <c r="B777" s="112" t="s">
        <v>360</v>
      </c>
      <c r="C777" s="40"/>
      <c r="D777" s="40"/>
      <c r="E777" s="144"/>
      <c r="F777" s="40"/>
      <c r="G777" s="40">
        <f>0.56*2+0.2*1*5+0.28*1*4</f>
        <v>3.24</v>
      </c>
      <c r="H777" s="144"/>
      <c r="I777" s="144"/>
      <c r="J777" s="40">
        <v>0</v>
      </c>
      <c r="K777" s="123">
        <f t="shared" si="47"/>
        <v>3.24</v>
      </c>
    </row>
    <row r="778" spans="1:12" ht="15" customHeight="1" x14ac:dyDescent="0.2">
      <c r="A778" s="379"/>
      <c r="B778" s="154" t="s">
        <v>47</v>
      </c>
      <c r="C778" s="153"/>
      <c r="D778" s="153"/>
      <c r="E778" s="153"/>
      <c r="F778" s="153"/>
      <c r="G778" s="153"/>
      <c r="H778" s="153"/>
      <c r="I778" s="153"/>
      <c r="J778" s="153"/>
      <c r="K778" s="159">
        <f>SUM(K767:K777)</f>
        <v>286.35000000000002</v>
      </c>
      <c r="L778" s="159" t="s">
        <v>6</v>
      </c>
    </row>
    <row r="779" spans="1:12" ht="15" customHeight="1" x14ac:dyDescent="0.2">
      <c r="A779" s="379"/>
      <c r="B779" s="160"/>
      <c r="K779" s="143"/>
    </row>
    <row r="780" spans="1:12" ht="15" customHeight="1" x14ac:dyDescent="0.2">
      <c r="A780" s="379" t="s">
        <v>790</v>
      </c>
      <c r="B780" s="351" t="str">
        <f>'Planilha Orçamentária'!D182</f>
        <v>Aplicação manual de tinta látex acrílica em parede externas de casas, duas demãos</v>
      </c>
      <c r="K780" s="143"/>
    </row>
    <row r="781" spans="1:12" ht="15" customHeight="1" x14ac:dyDescent="0.2">
      <c r="A781" s="379"/>
      <c r="B781" s="122" t="s">
        <v>208</v>
      </c>
      <c r="C781" s="40"/>
      <c r="D781" s="40"/>
      <c r="E781" s="144"/>
      <c r="F781" s="40"/>
      <c r="G781" s="40">
        <v>47.12</v>
      </c>
      <c r="H781" s="144"/>
      <c r="I781" s="144"/>
      <c r="J781" s="40">
        <f>2*0.8*2</f>
        <v>3.2</v>
      </c>
      <c r="K781" s="123">
        <f t="shared" ref="K781:K783" si="49">TRUNC(G781-J781,2)</f>
        <v>43.92</v>
      </c>
    </row>
    <row r="782" spans="1:12" ht="15" customHeight="1" x14ac:dyDescent="0.2">
      <c r="A782" s="379"/>
      <c r="B782" s="122" t="s">
        <v>209</v>
      </c>
      <c r="C782" s="40"/>
      <c r="D782" s="40"/>
      <c r="E782" s="144"/>
      <c r="F782" s="40"/>
      <c r="G782" s="19">
        <v>47.46</v>
      </c>
      <c r="H782" s="19"/>
      <c r="I782" s="19"/>
      <c r="J782" s="24">
        <f>(2*1.2)+(2.2*0.8)</f>
        <v>4.16</v>
      </c>
      <c r="K782" s="123">
        <f t="shared" si="49"/>
        <v>43.3</v>
      </c>
    </row>
    <row r="783" spans="1:12" ht="15" customHeight="1" x14ac:dyDescent="0.2">
      <c r="A783" s="379"/>
      <c r="B783" s="112" t="s">
        <v>210</v>
      </c>
      <c r="C783" s="40"/>
      <c r="D783" s="40"/>
      <c r="E783" s="144"/>
      <c r="F783" s="40"/>
      <c r="G783" s="40">
        <v>42.92</v>
      </c>
      <c r="H783" s="144"/>
      <c r="I783" s="144"/>
      <c r="J783" s="24">
        <f>(1.5*1.2)+(2.3*0.8)</f>
        <v>3.6399999999999997</v>
      </c>
      <c r="K783" s="123">
        <f t="shared" si="49"/>
        <v>39.28</v>
      </c>
      <c r="L783" s="356"/>
    </row>
    <row r="784" spans="1:12" ht="15" customHeight="1" x14ac:dyDescent="0.2">
      <c r="A784" s="379"/>
      <c r="B784" s="154" t="s">
        <v>47</v>
      </c>
      <c r="C784" s="153"/>
      <c r="D784" s="153"/>
      <c r="E784" s="153"/>
      <c r="F784" s="153"/>
      <c r="G784" s="153"/>
      <c r="H784" s="153"/>
      <c r="I784" s="153"/>
      <c r="J784" s="153"/>
      <c r="K784" s="159">
        <f>SUM(K781:K783)</f>
        <v>126.5</v>
      </c>
      <c r="L784" s="357" t="s">
        <v>6</v>
      </c>
    </row>
    <row r="785" spans="1:12" ht="15" customHeight="1" x14ac:dyDescent="0.2">
      <c r="A785" s="379"/>
      <c r="B785" s="160"/>
      <c r="K785" s="143"/>
      <c r="L785" s="173"/>
    </row>
    <row r="786" spans="1:12" ht="25.5" x14ac:dyDescent="0.2">
      <c r="A786" s="379" t="s">
        <v>791</v>
      </c>
      <c r="B786" s="351" t="str">
        <f>'Planilha Orçamentária'!D183</f>
        <v>Pintura com verniz filtro solar fosco, linha Premium, em madeira, a três demãos, marcas de referência Suvinil, Coral ou Metalatex</v>
      </c>
      <c r="K786" s="143"/>
      <c r="L786" s="173"/>
    </row>
    <row r="787" spans="1:12" ht="15" customHeight="1" x14ac:dyDescent="0.2">
      <c r="A787" s="379"/>
      <c r="B787" s="122" t="s">
        <v>623</v>
      </c>
      <c r="C787" s="40">
        <v>6</v>
      </c>
      <c r="D787" s="40"/>
      <c r="E787" s="40">
        <v>0.8</v>
      </c>
      <c r="F787" s="40">
        <v>2.1</v>
      </c>
      <c r="G787" s="40">
        <f>TRUNC(F787*E787,2)</f>
        <v>1.68</v>
      </c>
      <c r="H787" s="144"/>
      <c r="I787" s="144"/>
      <c r="J787" s="40"/>
      <c r="K787" s="123">
        <f>TRUNC(C787*G787,2)</f>
        <v>10.08</v>
      </c>
      <c r="L787" s="173"/>
    </row>
    <row r="788" spans="1:12" ht="15" customHeight="1" x14ac:dyDescent="0.2">
      <c r="A788" s="379"/>
      <c r="B788" s="154" t="s">
        <v>47</v>
      </c>
      <c r="C788" s="153"/>
      <c r="D788" s="153"/>
      <c r="E788" s="153"/>
      <c r="F788" s="153"/>
      <c r="G788" s="153"/>
      <c r="H788" s="153"/>
      <c r="I788" s="153"/>
      <c r="J788" s="153"/>
      <c r="K788" s="159">
        <f>SUM(K787:K787)</f>
        <v>10.08</v>
      </c>
      <c r="L788" s="357" t="s">
        <v>6</v>
      </c>
    </row>
    <row r="789" spans="1:12" ht="15" customHeight="1" x14ac:dyDescent="0.2">
      <c r="A789" s="379"/>
      <c r="B789" s="160"/>
      <c r="K789" s="143"/>
    </row>
    <row r="790" spans="1:12" ht="15" customHeight="1" x14ac:dyDescent="0.2">
      <c r="A790" s="214" t="s">
        <v>793</v>
      </c>
      <c r="B790" s="213" t="str">
        <f>'Planilha Orçamentária'!D186</f>
        <v>SERVIÇOS COMPLEMENTARES</v>
      </c>
      <c r="C790" s="164"/>
      <c r="D790" s="164"/>
      <c r="E790" s="164"/>
      <c r="F790" s="164"/>
      <c r="G790" s="164"/>
      <c r="H790" s="164"/>
      <c r="I790" s="164"/>
      <c r="J790" s="164"/>
      <c r="K790" s="170"/>
    </row>
    <row r="791" spans="1:12" ht="38.25" customHeight="1" x14ac:dyDescent="0.2">
      <c r="A791" s="381" t="s">
        <v>794</v>
      </c>
      <c r="B791" s="296" t="str">
        <f>'Planilha Orçamentária'!D187</f>
        <v xml:space="preserve">Carrinho de carga, sob medida, 3,50(C)x1,10(A)x1,20(L) m, com tela de arame galvanizado, malha losangular de 2", fio 12, tubo de aço galvanizado (3.1/2"), roda pneumática, 0,25(A) m, com rodízio de base fixa, chapa de aço (esp. de 2 mm), inclusive portão. </v>
      </c>
      <c r="C791" s="164"/>
      <c r="D791" s="164"/>
      <c r="E791" s="164"/>
      <c r="F791" s="164"/>
      <c r="G791" s="164"/>
      <c r="H791" s="164"/>
      <c r="I791" s="164"/>
      <c r="J791" s="164"/>
      <c r="K791" s="170"/>
    </row>
    <row r="792" spans="1:12" ht="15" customHeight="1" x14ac:dyDescent="0.2">
      <c r="A792" s="381"/>
      <c r="B792" s="160" t="s">
        <v>618</v>
      </c>
      <c r="C792" s="18">
        <v>1</v>
      </c>
      <c r="K792" s="143">
        <f>C792</f>
        <v>1</v>
      </c>
    </row>
    <row r="793" spans="1:12" ht="15" customHeight="1" x14ac:dyDescent="0.2">
      <c r="A793" s="214"/>
      <c r="B793" s="154" t="s">
        <v>47</v>
      </c>
      <c r="C793" s="153"/>
      <c r="D793" s="153"/>
      <c r="E793" s="153"/>
      <c r="F793" s="153"/>
      <c r="G793" s="153"/>
      <c r="H793" s="153"/>
      <c r="I793" s="153"/>
      <c r="J793" s="153"/>
      <c r="K793" s="159">
        <f>K792</f>
        <v>1</v>
      </c>
      <c r="L793" s="159" t="s">
        <v>4</v>
      </c>
    </row>
    <row r="794" spans="1:12" ht="15" customHeight="1" x14ac:dyDescent="0.2">
      <c r="A794" s="214"/>
      <c r="B794" s="233"/>
      <c r="C794" s="164"/>
      <c r="D794" s="164"/>
      <c r="E794" s="164"/>
      <c r="F794" s="164"/>
      <c r="G794" s="164"/>
      <c r="H794" s="164"/>
      <c r="I794" s="164"/>
      <c r="J794" s="164"/>
      <c r="K794" s="170"/>
    </row>
    <row r="795" spans="1:12" ht="15" customHeight="1" x14ac:dyDescent="0.2">
      <c r="A795" s="379" t="s">
        <v>795</v>
      </c>
      <c r="B795" s="561" t="str">
        <f>'Planilha Orçamentária'!D188</f>
        <v>Extintor de incêndio portátil de pó químico ABC com capacidade 2A-20B:C (4 kg), inclusive suporte para fixação, EXCLUSIVE placa sinalizadora em PVC fotoluminescente</v>
      </c>
      <c r="C795" s="562"/>
      <c r="D795" s="562"/>
      <c r="E795" s="562"/>
      <c r="F795" s="562"/>
      <c r="G795" s="562"/>
      <c r="H795" s="562"/>
      <c r="I795" s="562"/>
      <c r="J795" s="562"/>
      <c r="K795" s="563"/>
    </row>
    <row r="796" spans="1:12" ht="15" customHeight="1" x14ac:dyDescent="0.2">
      <c r="A796" s="379"/>
      <c r="B796" s="160" t="s">
        <v>188</v>
      </c>
      <c r="C796" s="18">
        <v>2</v>
      </c>
      <c r="K796" s="143">
        <f>C796</f>
        <v>2</v>
      </c>
      <c r="L796" s="183"/>
    </row>
    <row r="797" spans="1:12" ht="15" customHeight="1" x14ac:dyDescent="0.2">
      <c r="A797" s="379"/>
      <c r="B797" s="154" t="s">
        <v>47</v>
      </c>
      <c r="C797" s="153"/>
      <c r="D797" s="153"/>
      <c r="E797" s="153"/>
      <c r="F797" s="153"/>
      <c r="G797" s="153"/>
      <c r="H797" s="153"/>
      <c r="I797" s="153"/>
      <c r="J797" s="153"/>
      <c r="K797" s="159">
        <f>SUM(K796:K796)</f>
        <v>2</v>
      </c>
      <c r="L797" s="159" t="s">
        <v>4</v>
      </c>
    </row>
    <row r="798" spans="1:12" ht="15" customHeight="1" x14ac:dyDescent="0.2">
      <c r="A798" s="379"/>
      <c r="B798" s="141"/>
      <c r="K798" s="142"/>
    </row>
    <row r="799" spans="1:12" ht="15" customHeight="1" x14ac:dyDescent="0.2">
      <c r="A799" s="379" t="s">
        <v>796</v>
      </c>
      <c r="B799" s="558" t="str">
        <f>'Planilha Orçamentária'!D189</f>
        <v>Placa de sinalização de segurança CODIGO 14 - 315/158(NBR 13.434); CÓDIGO S3(NT 14/2010-ES) ("SAIDA DE EMERGÊNCIA"), conforme projeto</v>
      </c>
      <c r="C799" s="559"/>
      <c r="D799" s="559"/>
      <c r="E799" s="559"/>
      <c r="F799" s="559"/>
      <c r="G799" s="559"/>
      <c r="H799" s="559"/>
      <c r="I799" s="559"/>
      <c r="J799" s="559"/>
      <c r="K799" s="560"/>
    </row>
    <row r="800" spans="1:12" ht="15" customHeight="1" x14ac:dyDescent="0.2">
      <c r="A800" s="379"/>
      <c r="B800" s="160" t="s">
        <v>92</v>
      </c>
      <c r="C800" s="18">
        <v>1</v>
      </c>
      <c r="K800" s="143">
        <f t="shared" ref="K800:K805" si="50">C800</f>
        <v>1</v>
      </c>
    </row>
    <row r="801" spans="1:12" ht="15" customHeight="1" x14ac:dyDescent="0.2">
      <c r="A801" s="379"/>
      <c r="B801" s="160" t="s">
        <v>91</v>
      </c>
      <c r="C801" s="18">
        <v>1</v>
      </c>
      <c r="K801" s="143">
        <f t="shared" si="50"/>
        <v>1</v>
      </c>
    </row>
    <row r="802" spans="1:12" ht="15" customHeight="1" x14ac:dyDescent="0.2">
      <c r="A802" s="379"/>
      <c r="B802" s="160" t="s">
        <v>93</v>
      </c>
      <c r="C802" s="18">
        <v>1</v>
      </c>
      <c r="K802" s="143">
        <f t="shared" si="50"/>
        <v>1</v>
      </c>
    </row>
    <row r="803" spans="1:12" ht="15" customHeight="1" x14ac:dyDescent="0.2">
      <c r="A803" s="379"/>
      <c r="B803" s="160" t="s">
        <v>185</v>
      </c>
      <c r="C803" s="18">
        <v>1</v>
      </c>
      <c r="K803" s="143">
        <f t="shared" si="50"/>
        <v>1</v>
      </c>
    </row>
    <row r="804" spans="1:12" ht="15" customHeight="1" x14ac:dyDescent="0.2">
      <c r="A804" s="379"/>
      <c r="B804" s="160" t="s">
        <v>186</v>
      </c>
      <c r="C804" s="18">
        <v>1</v>
      </c>
      <c r="K804" s="143">
        <f t="shared" si="50"/>
        <v>1</v>
      </c>
    </row>
    <row r="805" spans="1:12" ht="15" customHeight="1" x14ac:dyDescent="0.2">
      <c r="A805" s="379"/>
      <c r="B805" s="160" t="s">
        <v>187</v>
      </c>
      <c r="C805" s="18">
        <v>1</v>
      </c>
      <c r="K805" s="143">
        <f t="shared" si="50"/>
        <v>1</v>
      </c>
    </row>
    <row r="806" spans="1:12" ht="15" customHeight="1" x14ac:dyDescent="0.2">
      <c r="A806" s="379"/>
      <c r="B806" s="154" t="s">
        <v>47</v>
      </c>
      <c r="C806" s="153"/>
      <c r="D806" s="153"/>
      <c r="E806" s="153"/>
      <c r="F806" s="153"/>
      <c r="G806" s="153"/>
      <c r="H806" s="153"/>
      <c r="I806" s="153"/>
      <c r="J806" s="153"/>
      <c r="K806" s="159">
        <f>SUM(K800:K805)</f>
        <v>6</v>
      </c>
      <c r="L806" s="159" t="s">
        <v>4</v>
      </c>
    </row>
    <row r="807" spans="1:12" ht="15" customHeight="1" x14ac:dyDescent="0.2">
      <c r="A807" s="379"/>
      <c r="K807" s="143"/>
    </row>
    <row r="808" spans="1:12" ht="15" customHeight="1" x14ac:dyDescent="0.2">
      <c r="A808" s="378" t="s">
        <v>797</v>
      </c>
      <c r="B808" s="558" t="str">
        <f>'Planilha Orçamentária'!D190</f>
        <v>Placa de sinalização de segurança contra incêndio, fotoluminescente, quadrada, 20x20 cm, em PVC</v>
      </c>
      <c r="C808" s="559"/>
      <c r="D808" s="559"/>
      <c r="E808" s="559"/>
      <c r="F808" s="559"/>
      <c r="G808" s="559"/>
      <c r="H808" s="559"/>
      <c r="I808" s="559"/>
      <c r="J808" s="559"/>
      <c r="K808" s="560"/>
    </row>
    <row r="809" spans="1:12" ht="15" customHeight="1" x14ac:dyDescent="0.2">
      <c r="A809" s="378"/>
      <c r="B809" s="160" t="s">
        <v>619</v>
      </c>
      <c r="C809" s="18">
        <v>2</v>
      </c>
      <c r="K809" s="143">
        <f t="shared" ref="K809" si="51">C809</f>
        <v>2</v>
      </c>
    </row>
    <row r="810" spans="1:12" ht="15" customHeight="1" x14ac:dyDescent="0.2">
      <c r="A810" s="379"/>
      <c r="B810" s="154" t="s">
        <v>47</v>
      </c>
      <c r="C810" s="153"/>
      <c r="D810" s="153"/>
      <c r="E810" s="153"/>
      <c r="F810" s="153"/>
      <c r="G810" s="153"/>
      <c r="H810" s="153"/>
      <c r="I810" s="153"/>
      <c r="J810" s="153"/>
      <c r="K810" s="159">
        <f>SUM(K809:K809)</f>
        <v>2</v>
      </c>
      <c r="L810" s="159" t="s">
        <v>4</v>
      </c>
    </row>
    <row r="811" spans="1:12" ht="15" customHeight="1" x14ac:dyDescent="0.2">
      <c r="A811" s="379"/>
      <c r="K811" s="143"/>
    </row>
    <row r="812" spans="1:12" ht="26.25" customHeight="1" x14ac:dyDescent="0.2">
      <c r="A812" s="379" t="s">
        <v>798</v>
      </c>
      <c r="B812" s="296" t="str">
        <f>'Planilha Orçamentária'!D191</f>
        <v>Corrimão de tubo de ferro galvanizado diâmetro 3" com chumbadores a cada 1.50m, inclusive pintura a óleo ou esmalte</v>
      </c>
      <c r="K812" s="143"/>
    </row>
    <row r="813" spans="1:12" ht="15" customHeight="1" x14ac:dyDescent="0.2">
      <c r="A813" s="379"/>
      <c r="B813" s="160" t="s">
        <v>360</v>
      </c>
      <c r="D813" s="18">
        <v>8.4600000000000009</v>
      </c>
      <c r="K813" s="143">
        <f>D813</f>
        <v>8.4600000000000009</v>
      </c>
    </row>
    <row r="814" spans="1:12" ht="15" customHeight="1" x14ac:dyDescent="0.2">
      <c r="A814" s="379"/>
      <c r="B814" s="154" t="s">
        <v>47</v>
      </c>
      <c r="C814" s="153"/>
      <c r="D814" s="153"/>
      <c r="E814" s="153"/>
      <c r="F814" s="153"/>
      <c r="G814" s="153"/>
      <c r="H814" s="153"/>
      <c r="I814" s="153"/>
      <c r="J814" s="153"/>
      <c r="K814" s="159">
        <f>K813</f>
        <v>8.4600000000000009</v>
      </c>
      <c r="L814" s="159" t="s">
        <v>5</v>
      </c>
    </row>
    <row r="815" spans="1:12" ht="15" customHeight="1" x14ac:dyDescent="0.2">
      <c r="A815" s="379"/>
      <c r="K815" s="143"/>
    </row>
    <row r="816" spans="1:12" ht="15" customHeight="1" x14ac:dyDescent="0.2">
      <c r="A816" s="378" t="s">
        <v>799</v>
      </c>
      <c r="B816" s="558" t="str">
        <f>'Planilha Orçamentária'!D192</f>
        <v>Grade de ferro em barra chata, inclusive chumbamento</v>
      </c>
      <c r="C816" s="559"/>
      <c r="D816" s="559"/>
      <c r="E816" s="559"/>
      <c r="F816" s="559"/>
      <c r="G816" s="559"/>
      <c r="H816" s="559"/>
      <c r="I816" s="559"/>
      <c r="J816" s="559"/>
      <c r="K816" s="560"/>
    </row>
    <row r="817" spans="1:12" ht="15" customHeight="1" x14ac:dyDescent="0.2">
      <c r="A817" s="378"/>
      <c r="B817" s="160" t="s">
        <v>316</v>
      </c>
      <c r="D817" s="18">
        <v>1.85</v>
      </c>
      <c r="E817" s="18">
        <v>1.4</v>
      </c>
      <c r="K817" s="143">
        <f>TRUNC(E817*D817,2)</f>
        <v>2.59</v>
      </c>
    </row>
    <row r="818" spans="1:12" ht="15" customHeight="1" x14ac:dyDescent="0.2">
      <c r="A818" s="378"/>
      <c r="B818" s="160" t="s">
        <v>317</v>
      </c>
      <c r="D818" s="18">
        <v>2.35</v>
      </c>
      <c r="E818" s="18">
        <v>1.4</v>
      </c>
      <c r="K818" s="143">
        <f>TRUNC(E818*D818,2)</f>
        <v>3.29</v>
      </c>
    </row>
    <row r="819" spans="1:12" ht="15" customHeight="1" x14ac:dyDescent="0.2">
      <c r="A819" s="379"/>
      <c r="B819" s="154" t="s">
        <v>47</v>
      </c>
      <c r="C819" s="153"/>
      <c r="D819" s="153"/>
      <c r="E819" s="153"/>
      <c r="F819" s="153"/>
      <c r="G819" s="153"/>
      <c r="H819" s="153"/>
      <c r="I819" s="153"/>
      <c r="J819" s="153"/>
      <c r="K819" s="159">
        <f>SUM(K817:K818)</f>
        <v>5.88</v>
      </c>
      <c r="L819" s="159" t="s">
        <v>6</v>
      </c>
    </row>
    <row r="820" spans="1:12" ht="15" customHeight="1" x14ac:dyDescent="0.2">
      <c r="A820" s="379"/>
      <c r="B820" s="141"/>
      <c r="L820" s="270"/>
    </row>
    <row r="821" spans="1:12" ht="15" customHeight="1" x14ac:dyDescent="0.2">
      <c r="A821" s="378" t="s">
        <v>800</v>
      </c>
      <c r="B821" s="558" t="str">
        <f>'Planilha Orçamentária'!D193</f>
        <v>Portão de ferro de abrir em barra chata, chapa e tubo, inclusive chumbamento</v>
      </c>
      <c r="C821" s="559"/>
      <c r="D821" s="559"/>
      <c r="E821" s="559"/>
      <c r="F821" s="559"/>
      <c r="G821" s="559"/>
      <c r="H821" s="559"/>
      <c r="I821" s="559"/>
      <c r="J821" s="559"/>
      <c r="K821" s="560"/>
    </row>
    <row r="822" spans="1:12" ht="15" customHeight="1" x14ac:dyDescent="0.2">
      <c r="A822" s="378"/>
      <c r="B822" s="160" t="s">
        <v>318</v>
      </c>
      <c r="D822" s="18">
        <v>1.1499999999999999</v>
      </c>
      <c r="E822" s="18">
        <v>2.2000000000000002</v>
      </c>
      <c r="K822" s="143">
        <f>TRUNC(E822*D822,2)</f>
        <v>2.5299999999999998</v>
      </c>
    </row>
    <row r="823" spans="1:12" ht="15" customHeight="1" x14ac:dyDescent="0.2">
      <c r="A823" s="379"/>
      <c r="B823" s="154" t="s">
        <v>47</v>
      </c>
      <c r="C823" s="153"/>
      <c r="D823" s="153"/>
      <c r="E823" s="153"/>
      <c r="F823" s="153"/>
      <c r="G823" s="153"/>
      <c r="H823" s="153"/>
      <c r="I823" s="153"/>
      <c r="J823" s="153"/>
      <c r="K823" s="159">
        <f>K822</f>
        <v>2.5299999999999998</v>
      </c>
      <c r="L823" s="159" t="s">
        <v>6</v>
      </c>
    </row>
    <row r="824" spans="1:12" ht="15" customHeight="1" x14ac:dyDescent="0.2">
      <c r="A824" s="143"/>
      <c r="B824" s="137"/>
      <c r="L824" s="270"/>
    </row>
    <row r="825" spans="1:12" ht="15" customHeight="1" x14ac:dyDescent="0.2">
      <c r="A825" s="378" t="s">
        <v>836</v>
      </c>
      <c r="B825" s="558" t="str">
        <f>'Planilha Orçamentária'!D194</f>
        <v>Limpeza geral da obra (edificação)</v>
      </c>
      <c r="C825" s="559"/>
      <c r="D825" s="559"/>
      <c r="E825" s="559"/>
      <c r="F825" s="559"/>
      <c r="G825" s="559"/>
      <c r="H825" s="559"/>
      <c r="I825" s="559"/>
      <c r="J825" s="559"/>
      <c r="K825" s="560"/>
    </row>
    <row r="826" spans="1:12" ht="15" customHeight="1" x14ac:dyDescent="0.2">
      <c r="A826" s="378"/>
      <c r="B826" s="160" t="s">
        <v>837</v>
      </c>
      <c r="D826" s="18">
        <v>16.75</v>
      </c>
      <c r="E826" s="18">
        <v>13.1</v>
      </c>
      <c r="K826" s="143">
        <f>TRUNC(E826*D826,2)</f>
        <v>219.42</v>
      </c>
    </row>
    <row r="827" spans="1:12" ht="15" customHeight="1" x14ac:dyDescent="0.2">
      <c r="A827" s="379"/>
      <c r="B827" s="154" t="s">
        <v>47</v>
      </c>
      <c r="C827" s="153"/>
      <c r="D827" s="153"/>
      <c r="E827" s="153"/>
      <c r="F827" s="153"/>
      <c r="G827" s="153"/>
      <c r="H827" s="153"/>
      <c r="I827" s="153"/>
      <c r="J827" s="153"/>
      <c r="K827" s="159">
        <f>K826</f>
        <v>219.42</v>
      </c>
      <c r="L827" s="159" t="s">
        <v>6</v>
      </c>
    </row>
    <row r="828" spans="1:12" ht="15" customHeight="1" x14ac:dyDescent="0.2">
      <c r="A828" s="18"/>
      <c r="B828" s="137"/>
    </row>
    <row r="829" spans="1:12" ht="15" customHeight="1" x14ac:dyDescent="0.2">
      <c r="A829" s="18"/>
      <c r="B829" s="137"/>
    </row>
    <row r="830" spans="1:12" ht="15" customHeight="1" x14ac:dyDescent="0.2">
      <c r="A830" s="18"/>
      <c r="B830" s="137"/>
    </row>
    <row r="831" spans="1:12" ht="15" customHeight="1" x14ac:dyDescent="0.2">
      <c r="A831" s="18"/>
      <c r="B831" s="137"/>
    </row>
    <row r="832" spans="1:12" ht="15" customHeight="1" x14ac:dyDescent="0.2">
      <c r="A832" s="18"/>
      <c r="B832" s="137"/>
    </row>
    <row r="833" spans="1:2" ht="15" customHeight="1" x14ac:dyDescent="0.2">
      <c r="A833" s="18"/>
      <c r="B833" s="137"/>
    </row>
    <row r="834" spans="1:2" ht="15" customHeight="1" x14ac:dyDescent="0.2">
      <c r="A834" s="18"/>
      <c r="B834" s="137"/>
    </row>
    <row r="835" spans="1:2" ht="15" customHeight="1" x14ac:dyDescent="0.2">
      <c r="A835" s="18"/>
      <c r="B835" s="137"/>
    </row>
    <row r="836" spans="1:2" ht="15" customHeight="1" x14ac:dyDescent="0.2">
      <c r="A836" s="18"/>
      <c r="B836" s="137"/>
    </row>
    <row r="837" spans="1:2" ht="15" customHeight="1" x14ac:dyDescent="0.2">
      <c r="A837" s="18"/>
      <c r="B837" s="137"/>
    </row>
    <row r="838" spans="1:2" ht="15" customHeight="1" x14ac:dyDescent="0.2">
      <c r="A838" s="18"/>
      <c r="B838" s="137"/>
    </row>
    <row r="839" spans="1:2" ht="15" customHeight="1" x14ac:dyDescent="0.2">
      <c r="A839" s="18"/>
      <c r="B839" s="137"/>
    </row>
    <row r="840" spans="1:2" ht="15" customHeight="1" x14ac:dyDescent="0.2">
      <c r="A840" s="18"/>
      <c r="B840" s="137"/>
    </row>
    <row r="841" spans="1:2" ht="15" customHeight="1" x14ac:dyDescent="0.2">
      <c r="A841" s="18"/>
      <c r="B841" s="137"/>
    </row>
    <row r="842" spans="1:2" ht="15" customHeight="1" x14ac:dyDescent="0.2">
      <c r="A842" s="18"/>
      <c r="B842" s="137"/>
    </row>
    <row r="843" spans="1:2" ht="15" customHeight="1" x14ac:dyDescent="0.2">
      <c r="A843" s="18"/>
      <c r="B843" s="137"/>
    </row>
    <row r="844" spans="1:2" ht="15" customHeight="1" x14ac:dyDescent="0.2">
      <c r="A844" s="18"/>
      <c r="B844" s="137"/>
    </row>
    <row r="845" spans="1:2" ht="15" customHeight="1" x14ac:dyDescent="0.2">
      <c r="A845" s="18"/>
      <c r="B845" s="137"/>
    </row>
    <row r="846" spans="1:2" ht="15" customHeight="1" x14ac:dyDescent="0.2">
      <c r="A846" s="18"/>
      <c r="B846" s="137"/>
    </row>
    <row r="847" spans="1:2" ht="15" customHeight="1" x14ac:dyDescent="0.2">
      <c r="A847" s="18"/>
      <c r="B847" s="137"/>
    </row>
    <row r="848" spans="1:2" ht="15" customHeight="1" x14ac:dyDescent="0.2">
      <c r="A848" s="18"/>
      <c r="B848" s="137"/>
    </row>
    <row r="849" spans="1:2" ht="15" customHeight="1" x14ac:dyDescent="0.2">
      <c r="A849" s="18"/>
      <c r="B849" s="137"/>
    </row>
    <row r="850" spans="1:2" ht="15" customHeight="1" x14ac:dyDescent="0.2">
      <c r="A850" s="18"/>
      <c r="B850" s="137"/>
    </row>
    <row r="851" spans="1:2" ht="15" customHeight="1" x14ac:dyDescent="0.2">
      <c r="A851" s="18"/>
      <c r="B851" s="137"/>
    </row>
    <row r="852" spans="1:2" ht="15" customHeight="1" x14ac:dyDescent="0.2">
      <c r="A852" s="18"/>
      <c r="B852" s="137"/>
    </row>
    <row r="853" spans="1:2" ht="15" customHeight="1" x14ac:dyDescent="0.2">
      <c r="A853" s="18"/>
      <c r="B853" s="137"/>
    </row>
    <row r="854" spans="1:2" ht="15" customHeight="1" x14ac:dyDescent="0.2">
      <c r="A854" s="18"/>
      <c r="B854" s="137"/>
    </row>
    <row r="855" spans="1:2" ht="15" customHeight="1" x14ac:dyDescent="0.2">
      <c r="A855" s="18"/>
      <c r="B855" s="137"/>
    </row>
    <row r="856" spans="1:2" ht="15" customHeight="1" x14ac:dyDescent="0.2">
      <c r="A856" s="18"/>
      <c r="B856" s="137"/>
    </row>
    <row r="857" spans="1:2" ht="15" customHeight="1" x14ac:dyDescent="0.2">
      <c r="A857" s="18"/>
      <c r="B857" s="137"/>
    </row>
    <row r="858" spans="1:2" ht="15" customHeight="1" x14ac:dyDescent="0.2">
      <c r="A858" s="18"/>
      <c r="B858" s="137"/>
    </row>
    <row r="859" spans="1:2" ht="15" customHeight="1" x14ac:dyDescent="0.2">
      <c r="A859" s="18"/>
      <c r="B859" s="137"/>
    </row>
    <row r="860" spans="1:2" ht="15" customHeight="1" x14ac:dyDescent="0.2">
      <c r="A860" s="18"/>
      <c r="B860" s="137"/>
    </row>
    <row r="861" spans="1:2" ht="15" customHeight="1" x14ac:dyDescent="0.2">
      <c r="A861" s="18"/>
      <c r="B861" s="137"/>
    </row>
    <row r="862" spans="1:2" ht="15" customHeight="1" x14ac:dyDescent="0.2">
      <c r="A862" s="18"/>
      <c r="B862" s="137"/>
    </row>
    <row r="863" spans="1:2" ht="15" customHeight="1" x14ac:dyDescent="0.2">
      <c r="A863" s="18"/>
      <c r="B863" s="137"/>
    </row>
    <row r="864" spans="1:2" ht="15" customHeight="1" x14ac:dyDescent="0.2">
      <c r="A864" s="18"/>
      <c r="B864" s="137"/>
    </row>
    <row r="865" spans="1:2" ht="15" customHeight="1" x14ac:dyDescent="0.2">
      <c r="A865" s="18"/>
      <c r="B865" s="137"/>
    </row>
    <row r="866" spans="1:2" ht="15" customHeight="1" x14ac:dyDescent="0.2">
      <c r="A866" s="18"/>
      <c r="B866" s="137"/>
    </row>
    <row r="867" spans="1:2" ht="15" customHeight="1" x14ac:dyDescent="0.2">
      <c r="A867" s="18"/>
      <c r="B867" s="137"/>
    </row>
    <row r="868" spans="1:2" ht="15" customHeight="1" x14ac:dyDescent="0.2">
      <c r="A868" s="18"/>
      <c r="B868" s="137"/>
    </row>
    <row r="869" spans="1:2" ht="15" customHeight="1" x14ac:dyDescent="0.2">
      <c r="A869" s="18"/>
      <c r="B869" s="137"/>
    </row>
    <row r="870" spans="1:2" ht="15" customHeight="1" x14ac:dyDescent="0.2">
      <c r="A870" s="18"/>
      <c r="B870" s="137"/>
    </row>
    <row r="871" spans="1:2" ht="15" customHeight="1" x14ac:dyDescent="0.2">
      <c r="A871" s="18"/>
      <c r="B871" s="137"/>
    </row>
    <row r="872" spans="1:2" ht="15" customHeight="1" x14ac:dyDescent="0.2">
      <c r="A872" s="18"/>
      <c r="B872" s="137"/>
    </row>
    <row r="873" spans="1:2" ht="15" customHeight="1" x14ac:dyDescent="0.2">
      <c r="A873" s="18"/>
      <c r="B873" s="137"/>
    </row>
    <row r="874" spans="1:2" ht="15" customHeight="1" x14ac:dyDescent="0.2">
      <c r="A874" s="18"/>
      <c r="B874" s="137"/>
    </row>
    <row r="875" spans="1:2" ht="15" customHeight="1" x14ac:dyDescent="0.2">
      <c r="A875" s="18"/>
      <c r="B875" s="137"/>
    </row>
    <row r="876" spans="1:2" ht="15" customHeight="1" x14ac:dyDescent="0.2">
      <c r="A876" s="18"/>
      <c r="B876" s="137"/>
    </row>
    <row r="877" spans="1:2" ht="15" customHeight="1" x14ac:dyDescent="0.2">
      <c r="A877" s="18"/>
      <c r="B877" s="137"/>
    </row>
    <row r="878" spans="1:2" ht="15" customHeight="1" x14ac:dyDescent="0.2">
      <c r="A878" s="18"/>
      <c r="B878" s="137"/>
    </row>
    <row r="879" spans="1:2" ht="15" customHeight="1" x14ac:dyDescent="0.2">
      <c r="A879" s="18"/>
      <c r="B879" s="137"/>
    </row>
    <row r="880" spans="1:2" ht="15" customHeight="1" x14ac:dyDescent="0.2">
      <c r="A880" s="18"/>
      <c r="B880" s="137"/>
    </row>
    <row r="881" spans="1:2" ht="15" customHeight="1" x14ac:dyDescent="0.2">
      <c r="A881" s="18"/>
      <c r="B881" s="137"/>
    </row>
    <row r="882" spans="1:2" ht="15" customHeight="1" x14ac:dyDescent="0.2">
      <c r="A882" s="18"/>
      <c r="B882" s="137"/>
    </row>
    <row r="883" spans="1:2" ht="15" customHeight="1" x14ac:dyDescent="0.2">
      <c r="A883" s="18"/>
      <c r="B883" s="137"/>
    </row>
    <row r="884" spans="1:2" ht="15" customHeight="1" x14ac:dyDescent="0.2">
      <c r="A884" s="18"/>
      <c r="B884" s="137"/>
    </row>
    <row r="885" spans="1:2" ht="15" customHeight="1" x14ac:dyDescent="0.2">
      <c r="A885" s="18"/>
      <c r="B885" s="137"/>
    </row>
    <row r="886" spans="1:2" ht="15" customHeight="1" x14ac:dyDescent="0.2">
      <c r="A886" s="18"/>
      <c r="B886" s="137"/>
    </row>
    <row r="887" spans="1:2" ht="15" customHeight="1" x14ac:dyDescent="0.2">
      <c r="A887" s="18"/>
      <c r="B887" s="137"/>
    </row>
    <row r="888" spans="1:2" ht="15" customHeight="1" x14ac:dyDescent="0.2">
      <c r="A888" s="18"/>
      <c r="B888" s="137"/>
    </row>
    <row r="889" spans="1:2" ht="15" customHeight="1" x14ac:dyDescent="0.2">
      <c r="A889" s="18"/>
      <c r="B889" s="137"/>
    </row>
    <row r="890" spans="1:2" ht="15" customHeight="1" x14ac:dyDescent="0.2">
      <c r="A890" s="18"/>
      <c r="B890" s="137"/>
    </row>
    <row r="891" spans="1:2" ht="15" customHeight="1" x14ac:dyDescent="0.2">
      <c r="A891" s="18"/>
      <c r="B891" s="137"/>
    </row>
    <row r="892" spans="1:2" ht="15" customHeight="1" x14ac:dyDescent="0.2">
      <c r="A892" s="18"/>
      <c r="B892" s="137"/>
    </row>
    <row r="893" spans="1:2" ht="15" customHeight="1" x14ac:dyDescent="0.2">
      <c r="A893" s="18"/>
      <c r="B893" s="137"/>
    </row>
    <row r="894" spans="1:2" ht="15" customHeight="1" x14ac:dyDescent="0.2">
      <c r="A894" s="18"/>
      <c r="B894" s="137"/>
    </row>
    <row r="895" spans="1:2" ht="15" customHeight="1" x14ac:dyDescent="0.2">
      <c r="A895" s="18"/>
      <c r="B895" s="137"/>
    </row>
    <row r="896" spans="1:2" ht="15" customHeight="1" x14ac:dyDescent="0.2">
      <c r="A896" s="18"/>
      <c r="B896" s="137"/>
    </row>
    <row r="897" spans="1:2" ht="15" customHeight="1" x14ac:dyDescent="0.2">
      <c r="A897" s="18"/>
      <c r="B897" s="137"/>
    </row>
    <row r="898" spans="1:2" ht="15" customHeight="1" x14ac:dyDescent="0.2">
      <c r="A898" s="18"/>
      <c r="B898" s="137"/>
    </row>
    <row r="899" spans="1:2" ht="15" customHeight="1" x14ac:dyDescent="0.2">
      <c r="A899" s="18"/>
      <c r="B899" s="137"/>
    </row>
    <row r="900" spans="1:2" ht="15" customHeight="1" x14ac:dyDescent="0.2">
      <c r="A900" s="18"/>
      <c r="B900" s="137"/>
    </row>
    <row r="901" spans="1:2" ht="15" customHeight="1" x14ac:dyDescent="0.2">
      <c r="A901" s="18"/>
      <c r="B901" s="137"/>
    </row>
    <row r="902" spans="1:2" ht="15" customHeight="1" x14ac:dyDescent="0.2">
      <c r="A902" s="18"/>
      <c r="B902" s="137"/>
    </row>
    <row r="903" spans="1:2" ht="15" customHeight="1" x14ac:dyDescent="0.2">
      <c r="A903" s="18"/>
      <c r="B903" s="137"/>
    </row>
    <row r="904" spans="1:2" ht="15" customHeight="1" x14ac:dyDescent="0.2">
      <c r="A904" s="18"/>
      <c r="B904" s="137"/>
    </row>
    <row r="905" spans="1:2" ht="15" customHeight="1" x14ac:dyDescent="0.2">
      <c r="A905" s="18"/>
      <c r="B905" s="137"/>
    </row>
    <row r="906" spans="1:2" ht="15" customHeight="1" x14ac:dyDescent="0.2">
      <c r="A906" s="18"/>
      <c r="B906" s="137"/>
    </row>
    <row r="907" spans="1:2" ht="15" customHeight="1" x14ac:dyDescent="0.2">
      <c r="A907" s="18"/>
      <c r="B907" s="137"/>
    </row>
    <row r="908" spans="1:2" ht="15" customHeight="1" x14ac:dyDescent="0.2">
      <c r="A908" s="18"/>
      <c r="B908" s="137"/>
    </row>
    <row r="909" spans="1:2" ht="15" customHeight="1" x14ac:dyDescent="0.2">
      <c r="A909" s="18"/>
      <c r="B909" s="137"/>
    </row>
    <row r="910" spans="1:2" ht="15" customHeight="1" x14ac:dyDescent="0.2">
      <c r="A910" s="18"/>
      <c r="B910" s="137"/>
    </row>
    <row r="911" spans="1:2" ht="15" customHeight="1" x14ac:dyDescent="0.2">
      <c r="A911" s="18"/>
      <c r="B911" s="137"/>
    </row>
    <row r="912" spans="1:2" ht="15" customHeight="1" x14ac:dyDescent="0.2">
      <c r="A912" s="18"/>
      <c r="B912" s="137"/>
    </row>
    <row r="913" spans="1:2" ht="15" customHeight="1" x14ac:dyDescent="0.2">
      <c r="A913" s="18"/>
      <c r="B913" s="137"/>
    </row>
    <row r="914" spans="1:2" ht="15" customHeight="1" x14ac:dyDescent="0.2">
      <c r="A914" s="18"/>
      <c r="B914" s="137"/>
    </row>
    <row r="915" spans="1:2" ht="15" customHeight="1" x14ac:dyDescent="0.2">
      <c r="A915" s="18"/>
      <c r="B915" s="137"/>
    </row>
    <row r="916" spans="1:2" ht="15" customHeight="1" x14ac:dyDescent="0.2">
      <c r="A916" s="18"/>
      <c r="B916" s="137"/>
    </row>
    <row r="917" spans="1:2" ht="15" customHeight="1" x14ac:dyDescent="0.2">
      <c r="A917" s="18"/>
      <c r="B917" s="137"/>
    </row>
    <row r="918" spans="1:2" ht="15" customHeight="1" x14ac:dyDescent="0.2">
      <c r="A918" s="18"/>
      <c r="B918" s="137"/>
    </row>
    <row r="919" spans="1:2" ht="15" customHeight="1" x14ac:dyDescent="0.2">
      <c r="A919" s="18"/>
      <c r="B919" s="137"/>
    </row>
    <row r="920" spans="1:2" ht="15" customHeight="1" x14ac:dyDescent="0.2">
      <c r="A920" s="18"/>
      <c r="B920" s="137"/>
    </row>
    <row r="921" spans="1:2" ht="15" customHeight="1" x14ac:dyDescent="0.2">
      <c r="A921" s="18"/>
      <c r="B921" s="137"/>
    </row>
    <row r="922" spans="1:2" ht="15" customHeight="1" x14ac:dyDescent="0.2">
      <c r="A922" s="18"/>
      <c r="B922" s="137"/>
    </row>
    <row r="923" spans="1:2" ht="15" customHeight="1" x14ac:dyDescent="0.2">
      <c r="A923" s="18"/>
      <c r="B923" s="137"/>
    </row>
    <row r="924" spans="1:2" ht="15" customHeight="1" x14ac:dyDescent="0.2">
      <c r="A924" s="18"/>
      <c r="B924" s="137"/>
    </row>
    <row r="925" spans="1:2" ht="15" customHeight="1" x14ac:dyDescent="0.2">
      <c r="A925" s="18"/>
      <c r="B925" s="137"/>
    </row>
    <row r="926" spans="1:2" ht="15" customHeight="1" x14ac:dyDescent="0.2">
      <c r="A926" s="18"/>
      <c r="B926" s="137"/>
    </row>
    <row r="927" spans="1:2" ht="15" customHeight="1" x14ac:dyDescent="0.2">
      <c r="A927" s="18"/>
      <c r="B927" s="137"/>
    </row>
    <row r="928" spans="1:2" ht="15" customHeight="1" x14ac:dyDescent="0.2">
      <c r="A928" s="18"/>
      <c r="B928" s="137"/>
    </row>
    <row r="929" spans="1:2" ht="15" customHeight="1" x14ac:dyDescent="0.2">
      <c r="A929" s="18"/>
      <c r="B929" s="137"/>
    </row>
    <row r="930" spans="1:2" ht="15" customHeight="1" x14ac:dyDescent="0.2">
      <c r="A930" s="18"/>
      <c r="B930" s="137"/>
    </row>
    <row r="931" spans="1:2" ht="15" customHeight="1" x14ac:dyDescent="0.2">
      <c r="A931" s="18"/>
      <c r="B931" s="137"/>
    </row>
    <row r="932" spans="1:2" ht="15" customHeight="1" x14ac:dyDescent="0.2">
      <c r="A932" s="18"/>
      <c r="B932" s="137"/>
    </row>
    <row r="933" spans="1:2" ht="15" customHeight="1" x14ac:dyDescent="0.2">
      <c r="A933" s="18"/>
      <c r="B933" s="137"/>
    </row>
    <row r="934" spans="1:2" ht="15" customHeight="1" x14ac:dyDescent="0.2">
      <c r="A934" s="18"/>
      <c r="B934" s="137"/>
    </row>
    <row r="935" spans="1:2" ht="15" customHeight="1" x14ac:dyDescent="0.2">
      <c r="A935" s="18"/>
      <c r="B935" s="137"/>
    </row>
    <row r="936" spans="1:2" ht="15" customHeight="1" x14ac:dyDescent="0.2">
      <c r="A936" s="18"/>
      <c r="B936" s="137"/>
    </row>
    <row r="937" spans="1:2" ht="15" customHeight="1" x14ac:dyDescent="0.2">
      <c r="A937" s="18"/>
      <c r="B937" s="137"/>
    </row>
    <row r="938" spans="1:2" ht="15" customHeight="1" x14ac:dyDescent="0.2">
      <c r="A938" s="18"/>
      <c r="B938" s="137"/>
    </row>
    <row r="939" spans="1:2" ht="15" customHeight="1" x14ac:dyDescent="0.2">
      <c r="A939" s="18"/>
      <c r="B939" s="137"/>
    </row>
    <row r="940" spans="1:2" ht="15" customHeight="1" x14ac:dyDescent="0.2">
      <c r="A940" s="18"/>
      <c r="B940" s="137"/>
    </row>
    <row r="941" spans="1:2" ht="15" customHeight="1" x14ac:dyDescent="0.2">
      <c r="A941" s="18"/>
      <c r="B941" s="137"/>
    </row>
    <row r="942" spans="1:2" ht="15" customHeight="1" x14ac:dyDescent="0.2">
      <c r="A942" s="18"/>
      <c r="B942" s="137"/>
    </row>
    <row r="943" spans="1:2" ht="15" customHeight="1" x14ac:dyDescent="0.2">
      <c r="A943" s="18"/>
      <c r="B943" s="137"/>
    </row>
    <row r="944" spans="1:2" ht="15" customHeight="1" x14ac:dyDescent="0.2">
      <c r="A944" s="18"/>
      <c r="B944" s="137"/>
    </row>
    <row r="945" spans="1:2" ht="15" customHeight="1" x14ac:dyDescent="0.2">
      <c r="A945" s="18"/>
      <c r="B945" s="137"/>
    </row>
    <row r="946" spans="1:2" ht="15" customHeight="1" x14ac:dyDescent="0.2">
      <c r="A946" s="18"/>
      <c r="B946" s="137"/>
    </row>
    <row r="947" spans="1:2" ht="15" customHeight="1" x14ac:dyDescent="0.2">
      <c r="A947" s="18"/>
      <c r="B947" s="137"/>
    </row>
    <row r="948" spans="1:2" ht="15" customHeight="1" x14ac:dyDescent="0.2">
      <c r="A948" s="18"/>
      <c r="B948" s="137"/>
    </row>
    <row r="949" spans="1:2" ht="15" customHeight="1" x14ac:dyDescent="0.2">
      <c r="A949" s="18"/>
      <c r="B949" s="137"/>
    </row>
    <row r="950" spans="1:2" ht="15" customHeight="1" x14ac:dyDescent="0.2">
      <c r="A950" s="18"/>
      <c r="B950" s="137"/>
    </row>
    <row r="951" spans="1:2" ht="15" customHeight="1" x14ac:dyDescent="0.2">
      <c r="A951" s="18"/>
      <c r="B951" s="137"/>
    </row>
    <row r="952" spans="1:2" ht="15" customHeight="1" x14ac:dyDescent="0.2">
      <c r="A952" s="18"/>
      <c r="B952" s="137"/>
    </row>
    <row r="953" spans="1:2" ht="15" customHeight="1" x14ac:dyDescent="0.2">
      <c r="A953" s="18"/>
      <c r="B953" s="137"/>
    </row>
    <row r="954" spans="1:2" ht="15" customHeight="1" x14ac:dyDescent="0.2">
      <c r="A954" s="18"/>
      <c r="B954" s="137"/>
    </row>
    <row r="955" spans="1:2" ht="15" customHeight="1" x14ac:dyDescent="0.2">
      <c r="A955" s="18"/>
      <c r="B955" s="137"/>
    </row>
    <row r="956" spans="1:2" ht="15" customHeight="1" x14ac:dyDescent="0.2">
      <c r="A956" s="18"/>
      <c r="B956" s="137"/>
    </row>
    <row r="957" spans="1:2" ht="15" customHeight="1" x14ac:dyDescent="0.2">
      <c r="A957" s="18"/>
      <c r="B957" s="137"/>
    </row>
    <row r="958" spans="1:2" ht="15" customHeight="1" x14ac:dyDescent="0.2">
      <c r="A958" s="18"/>
      <c r="B958" s="137"/>
    </row>
    <row r="959" spans="1:2" ht="15" customHeight="1" x14ac:dyDescent="0.2">
      <c r="A959" s="18"/>
      <c r="B959" s="137"/>
    </row>
    <row r="960" spans="1:2" ht="15" customHeight="1" x14ac:dyDescent="0.2">
      <c r="A960" s="18"/>
      <c r="B960" s="137"/>
    </row>
    <row r="961" spans="1:2" ht="15" customHeight="1" x14ac:dyDescent="0.2">
      <c r="A961" s="18"/>
      <c r="B961" s="137"/>
    </row>
    <row r="962" spans="1:2" ht="15" customHeight="1" x14ac:dyDescent="0.2">
      <c r="A962" s="18"/>
      <c r="B962" s="137"/>
    </row>
    <row r="963" spans="1:2" ht="15" customHeight="1" x14ac:dyDescent="0.2">
      <c r="A963" s="18"/>
      <c r="B963" s="137"/>
    </row>
    <row r="964" spans="1:2" ht="15" customHeight="1" x14ac:dyDescent="0.2">
      <c r="A964" s="18"/>
      <c r="B964" s="137"/>
    </row>
    <row r="965" spans="1:2" ht="15" customHeight="1" x14ac:dyDescent="0.2">
      <c r="A965" s="18"/>
      <c r="B965" s="137"/>
    </row>
    <row r="966" spans="1:2" ht="15" customHeight="1" x14ac:dyDescent="0.2">
      <c r="A966" s="18"/>
      <c r="B966" s="137"/>
    </row>
    <row r="967" spans="1:2" ht="15" customHeight="1" x14ac:dyDescent="0.2">
      <c r="A967" s="18"/>
      <c r="B967" s="137"/>
    </row>
    <row r="968" spans="1:2" ht="15" customHeight="1" x14ac:dyDescent="0.2">
      <c r="A968" s="18"/>
      <c r="B968" s="137"/>
    </row>
    <row r="969" spans="1:2" ht="15" customHeight="1" x14ac:dyDescent="0.2">
      <c r="A969" s="18"/>
      <c r="B969" s="137"/>
    </row>
    <row r="970" spans="1:2" ht="15" customHeight="1" x14ac:dyDescent="0.2">
      <c r="A970" s="18"/>
      <c r="B970" s="137"/>
    </row>
    <row r="971" spans="1:2" ht="15" customHeight="1" x14ac:dyDescent="0.2">
      <c r="A971" s="18"/>
      <c r="B971" s="137"/>
    </row>
    <row r="972" spans="1:2" ht="15" customHeight="1" x14ac:dyDescent="0.2">
      <c r="A972" s="18"/>
      <c r="B972" s="137"/>
    </row>
    <row r="973" spans="1:2" ht="15" customHeight="1" x14ac:dyDescent="0.2">
      <c r="A973" s="18"/>
      <c r="B973" s="137"/>
    </row>
    <row r="974" spans="1:2" ht="15" customHeight="1" x14ac:dyDescent="0.2">
      <c r="A974" s="18"/>
      <c r="B974" s="137"/>
    </row>
    <row r="975" spans="1:2" ht="15" customHeight="1" x14ac:dyDescent="0.2">
      <c r="A975" s="18"/>
      <c r="B975" s="137"/>
    </row>
    <row r="976" spans="1:2" ht="15" customHeight="1" x14ac:dyDescent="0.2">
      <c r="A976" s="18"/>
      <c r="B976" s="137"/>
    </row>
    <row r="977" spans="1:2" ht="15" customHeight="1" x14ac:dyDescent="0.2">
      <c r="A977" s="18"/>
      <c r="B977" s="137"/>
    </row>
    <row r="978" spans="1:2" ht="15" customHeight="1" x14ac:dyDescent="0.2">
      <c r="A978" s="18"/>
      <c r="B978" s="137"/>
    </row>
    <row r="979" spans="1:2" ht="15" customHeight="1" x14ac:dyDescent="0.2">
      <c r="A979" s="18"/>
      <c r="B979" s="137"/>
    </row>
    <row r="980" spans="1:2" ht="15" customHeight="1" x14ac:dyDescent="0.2">
      <c r="A980" s="18"/>
      <c r="B980" s="137"/>
    </row>
    <row r="981" spans="1:2" ht="15" customHeight="1" x14ac:dyDescent="0.2">
      <c r="A981" s="18"/>
      <c r="B981" s="137"/>
    </row>
    <row r="982" spans="1:2" ht="15" customHeight="1" x14ac:dyDescent="0.2">
      <c r="A982" s="18"/>
      <c r="B982" s="137"/>
    </row>
    <row r="983" spans="1:2" ht="15" customHeight="1" x14ac:dyDescent="0.2">
      <c r="A983" s="18"/>
      <c r="B983" s="137"/>
    </row>
    <row r="984" spans="1:2" ht="15" customHeight="1" x14ac:dyDescent="0.2">
      <c r="A984" s="18"/>
      <c r="B984" s="137"/>
    </row>
    <row r="985" spans="1:2" ht="15" customHeight="1" x14ac:dyDescent="0.2">
      <c r="A985" s="18"/>
      <c r="B985" s="137"/>
    </row>
    <row r="986" spans="1:2" ht="15" customHeight="1" x14ac:dyDescent="0.2">
      <c r="A986" s="18"/>
      <c r="B986" s="137"/>
    </row>
    <row r="987" spans="1:2" ht="15" customHeight="1" x14ac:dyDescent="0.2">
      <c r="A987" s="18"/>
      <c r="B987" s="137"/>
    </row>
    <row r="988" spans="1:2" ht="15" customHeight="1" x14ac:dyDescent="0.2">
      <c r="A988" s="18"/>
      <c r="B988" s="137"/>
    </row>
    <row r="989" spans="1:2" ht="15" customHeight="1" x14ac:dyDescent="0.2">
      <c r="A989" s="18"/>
      <c r="B989" s="137"/>
    </row>
    <row r="990" spans="1:2" ht="15" customHeight="1" x14ac:dyDescent="0.2">
      <c r="A990" s="18"/>
      <c r="B990" s="137"/>
    </row>
    <row r="991" spans="1:2" ht="15" customHeight="1" x14ac:dyDescent="0.2">
      <c r="A991" s="18"/>
      <c r="B991" s="137"/>
    </row>
    <row r="992" spans="1:2" ht="15" customHeight="1" x14ac:dyDescent="0.2">
      <c r="A992" s="18"/>
      <c r="B992" s="137"/>
    </row>
    <row r="993" spans="1:2" ht="15" customHeight="1" x14ac:dyDescent="0.2">
      <c r="A993" s="18"/>
      <c r="B993" s="137"/>
    </row>
    <row r="994" spans="1:2" ht="15" customHeight="1" x14ac:dyDescent="0.2">
      <c r="A994" s="18"/>
      <c r="B994" s="137"/>
    </row>
    <row r="995" spans="1:2" ht="15" customHeight="1" x14ac:dyDescent="0.2">
      <c r="A995" s="18"/>
      <c r="B995" s="137"/>
    </row>
    <row r="996" spans="1:2" ht="15" customHeight="1" x14ac:dyDescent="0.2">
      <c r="A996" s="18"/>
      <c r="B996" s="137"/>
    </row>
    <row r="997" spans="1:2" ht="15" customHeight="1" x14ac:dyDescent="0.2">
      <c r="A997" s="18"/>
      <c r="B997" s="137"/>
    </row>
    <row r="998" spans="1:2" ht="15" customHeight="1" x14ac:dyDescent="0.2">
      <c r="A998" s="18"/>
      <c r="B998" s="137"/>
    </row>
    <row r="999" spans="1:2" ht="15" customHeight="1" x14ac:dyDescent="0.2">
      <c r="A999" s="18"/>
      <c r="B999" s="137"/>
    </row>
    <row r="1000" spans="1:2" ht="15" customHeight="1" x14ac:dyDescent="0.2">
      <c r="A1000" s="18"/>
      <c r="B1000" s="137"/>
    </row>
    <row r="1001" spans="1:2" ht="15" customHeight="1" x14ac:dyDescent="0.2">
      <c r="A1001" s="18"/>
      <c r="B1001" s="137"/>
    </row>
    <row r="1002" spans="1:2" ht="15" customHeight="1" x14ac:dyDescent="0.2">
      <c r="A1002" s="18"/>
      <c r="B1002" s="137"/>
    </row>
    <row r="1003" spans="1:2" ht="15" customHeight="1" x14ac:dyDescent="0.2">
      <c r="A1003" s="18"/>
      <c r="B1003" s="137"/>
    </row>
    <row r="1004" spans="1:2" ht="15" customHeight="1" x14ac:dyDescent="0.2">
      <c r="A1004" s="18"/>
      <c r="B1004" s="137"/>
    </row>
    <row r="1005" spans="1:2" ht="15" customHeight="1" x14ac:dyDescent="0.2">
      <c r="A1005" s="18"/>
      <c r="B1005" s="137"/>
    </row>
    <row r="1006" spans="1:2" ht="15" customHeight="1" x14ac:dyDescent="0.2">
      <c r="A1006" s="18"/>
      <c r="B1006" s="137"/>
    </row>
    <row r="1007" spans="1:2" ht="15" customHeight="1" x14ac:dyDescent="0.2">
      <c r="A1007" s="18"/>
      <c r="B1007" s="137"/>
    </row>
    <row r="1008" spans="1:2" ht="15" customHeight="1" x14ac:dyDescent="0.2">
      <c r="A1008" s="18"/>
      <c r="B1008" s="137"/>
    </row>
    <row r="1009" spans="1:2" ht="15" customHeight="1" x14ac:dyDescent="0.2">
      <c r="A1009" s="18"/>
      <c r="B1009" s="137"/>
    </row>
    <row r="1010" spans="1:2" ht="15" customHeight="1" x14ac:dyDescent="0.2">
      <c r="A1010" s="18"/>
      <c r="B1010" s="137"/>
    </row>
    <row r="1011" spans="1:2" ht="15" customHeight="1" x14ac:dyDescent="0.2">
      <c r="A1011" s="18"/>
      <c r="B1011" s="137"/>
    </row>
    <row r="1012" spans="1:2" ht="15" customHeight="1" x14ac:dyDescent="0.2">
      <c r="A1012" s="18"/>
      <c r="B1012" s="137"/>
    </row>
    <row r="1013" spans="1:2" ht="15" customHeight="1" x14ac:dyDescent="0.2">
      <c r="A1013" s="18"/>
      <c r="B1013" s="137"/>
    </row>
    <row r="1014" spans="1:2" ht="15" customHeight="1" x14ac:dyDescent="0.2">
      <c r="A1014" s="18"/>
      <c r="B1014" s="137"/>
    </row>
    <row r="1015" spans="1:2" ht="15" customHeight="1" x14ac:dyDescent="0.2">
      <c r="A1015" s="18"/>
      <c r="B1015" s="137"/>
    </row>
    <row r="1016" spans="1:2" ht="15" customHeight="1" x14ac:dyDescent="0.2">
      <c r="A1016" s="18"/>
      <c r="B1016" s="137"/>
    </row>
    <row r="1017" spans="1:2" ht="15" customHeight="1" x14ac:dyDescent="0.2">
      <c r="A1017" s="18"/>
      <c r="B1017" s="137"/>
    </row>
    <row r="1018" spans="1:2" ht="15" customHeight="1" x14ac:dyDescent="0.2">
      <c r="A1018" s="18"/>
      <c r="B1018" s="137"/>
    </row>
    <row r="1019" spans="1:2" ht="15" customHeight="1" x14ac:dyDescent="0.2">
      <c r="A1019" s="18"/>
      <c r="B1019" s="137"/>
    </row>
    <row r="1020" spans="1:2" ht="15" customHeight="1" x14ac:dyDescent="0.2">
      <c r="A1020" s="18"/>
      <c r="B1020" s="137"/>
    </row>
    <row r="1021" spans="1:2" ht="15" customHeight="1" x14ac:dyDescent="0.2">
      <c r="A1021" s="18"/>
      <c r="B1021" s="137"/>
    </row>
    <row r="1022" spans="1:2" ht="15" customHeight="1" x14ac:dyDescent="0.2">
      <c r="A1022" s="18"/>
      <c r="B1022" s="137"/>
    </row>
    <row r="1023" spans="1:2" ht="15" customHeight="1" x14ac:dyDescent="0.2">
      <c r="A1023" s="18"/>
      <c r="B1023" s="137"/>
    </row>
    <row r="1024" spans="1:2" ht="15" customHeight="1" x14ac:dyDescent="0.2">
      <c r="A1024" s="18"/>
      <c r="B1024" s="137"/>
    </row>
    <row r="1025" spans="1:2" ht="15" customHeight="1" x14ac:dyDescent="0.2">
      <c r="A1025" s="18"/>
      <c r="B1025" s="137"/>
    </row>
    <row r="1026" spans="1:2" ht="15" customHeight="1" x14ac:dyDescent="0.2">
      <c r="A1026" s="18"/>
      <c r="B1026" s="137"/>
    </row>
    <row r="1027" spans="1:2" ht="15" customHeight="1" x14ac:dyDescent="0.2">
      <c r="A1027" s="18"/>
      <c r="B1027" s="137"/>
    </row>
    <row r="1028" spans="1:2" ht="15" customHeight="1" x14ac:dyDescent="0.2">
      <c r="A1028" s="18"/>
      <c r="B1028" s="137"/>
    </row>
    <row r="1029" spans="1:2" ht="15" customHeight="1" x14ac:dyDescent="0.2">
      <c r="A1029" s="18"/>
      <c r="B1029" s="137"/>
    </row>
    <row r="1030" spans="1:2" ht="15" customHeight="1" x14ac:dyDescent="0.2">
      <c r="A1030" s="18"/>
      <c r="B1030" s="137"/>
    </row>
    <row r="1031" spans="1:2" ht="15" customHeight="1" x14ac:dyDescent="0.2">
      <c r="A1031" s="18"/>
      <c r="B1031" s="137"/>
    </row>
    <row r="1032" spans="1:2" ht="15" customHeight="1" x14ac:dyDescent="0.2">
      <c r="A1032" s="18"/>
      <c r="B1032" s="137"/>
    </row>
    <row r="1033" spans="1:2" ht="15" customHeight="1" x14ac:dyDescent="0.2">
      <c r="A1033" s="18"/>
      <c r="B1033" s="137"/>
    </row>
    <row r="1034" spans="1:2" ht="15" customHeight="1" x14ac:dyDescent="0.2">
      <c r="A1034" s="18"/>
      <c r="B1034" s="137"/>
    </row>
    <row r="1035" spans="1:2" ht="15" customHeight="1" x14ac:dyDescent="0.2">
      <c r="A1035" s="18"/>
      <c r="B1035" s="137"/>
    </row>
    <row r="1036" spans="1:2" ht="15" customHeight="1" x14ac:dyDescent="0.2">
      <c r="A1036" s="18"/>
      <c r="B1036" s="137"/>
    </row>
    <row r="1037" spans="1:2" ht="15" customHeight="1" x14ac:dyDescent="0.2">
      <c r="A1037" s="18"/>
      <c r="B1037" s="137"/>
    </row>
    <row r="1038" spans="1:2" ht="15" customHeight="1" x14ac:dyDescent="0.2">
      <c r="A1038" s="18"/>
      <c r="B1038" s="137"/>
    </row>
    <row r="1039" spans="1:2" ht="15" customHeight="1" x14ac:dyDescent="0.2">
      <c r="A1039" s="18"/>
      <c r="B1039" s="137"/>
    </row>
    <row r="1040" spans="1:2" ht="15" customHeight="1" x14ac:dyDescent="0.2">
      <c r="A1040" s="18"/>
      <c r="B1040" s="137"/>
    </row>
    <row r="1041" spans="1:2" ht="15" customHeight="1" x14ac:dyDescent="0.2">
      <c r="A1041" s="18"/>
      <c r="B1041" s="137"/>
    </row>
    <row r="1042" spans="1:2" ht="15" customHeight="1" x14ac:dyDescent="0.2">
      <c r="A1042" s="18"/>
      <c r="B1042" s="137"/>
    </row>
    <row r="1043" spans="1:2" ht="15" customHeight="1" x14ac:dyDescent="0.2">
      <c r="A1043" s="18"/>
      <c r="B1043" s="137"/>
    </row>
    <row r="1044" spans="1:2" ht="15" customHeight="1" x14ac:dyDescent="0.2">
      <c r="A1044" s="18"/>
      <c r="B1044" s="137"/>
    </row>
    <row r="1045" spans="1:2" ht="15" customHeight="1" x14ac:dyDescent="0.2">
      <c r="A1045" s="18"/>
      <c r="B1045" s="137"/>
    </row>
    <row r="1046" spans="1:2" ht="15" customHeight="1" x14ac:dyDescent="0.2">
      <c r="A1046" s="18"/>
      <c r="B1046" s="137"/>
    </row>
    <row r="1047" spans="1:2" ht="15" customHeight="1" x14ac:dyDescent="0.2">
      <c r="A1047" s="18"/>
      <c r="B1047" s="137"/>
    </row>
    <row r="1048" spans="1:2" ht="15" customHeight="1" x14ac:dyDescent="0.2">
      <c r="A1048" s="18"/>
      <c r="B1048" s="137"/>
    </row>
    <row r="1049" spans="1:2" ht="15" customHeight="1" x14ac:dyDescent="0.2">
      <c r="A1049" s="18"/>
      <c r="B1049" s="137"/>
    </row>
    <row r="1050" spans="1:2" ht="15" customHeight="1" x14ac:dyDescent="0.2">
      <c r="A1050" s="18"/>
      <c r="B1050" s="137"/>
    </row>
    <row r="1051" spans="1:2" ht="15" customHeight="1" x14ac:dyDescent="0.2">
      <c r="A1051" s="18"/>
      <c r="B1051" s="137"/>
    </row>
    <row r="1052" spans="1:2" ht="15" customHeight="1" x14ac:dyDescent="0.2">
      <c r="A1052" s="18"/>
      <c r="B1052" s="137"/>
    </row>
    <row r="1053" spans="1:2" ht="15" customHeight="1" x14ac:dyDescent="0.2">
      <c r="A1053" s="18"/>
      <c r="B1053" s="137"/>
    </row>
    <row r="1054" spans="1:2" ht="15" customHeight="1" x14ac:dyDescent="0.2">
      <c r="A1054" s="18"/>
      <c r="B1054" s="137"/>
    </row>
    <row r="1055" spans="1:2" ht="15" customHeight="1" x14ac:dyDescent="0.2">
      <c r="A1055" s="18"/>
      <c r="B1055" s="137"/>
    </row>
    <row r="1056" spans="1:2" ht="15" customHeight="1" x14ac:dyDescent="0.2">
      <c r="A1056" s="18"/>
      <c r="B1056" s="137"/>
    </row>
    <row r="1057" spans="1:2" ht="15" customHeight="1" x14ac:dyDescent="0.2">
      <c r="A1057" s="18"/>
      <c r="B1057" s="137"/>
    </row>
    <row r="1058" spans="1:2" ht="15" customHeight="1" x14ac:dyDescent="0.2">
      <c r="A1058" s="18"/>
      <c r="B1058" s="137"/>
    </row>
    <row r="1059" spans="1:2" ht="15" customHeight="1" x14ac:dyDescent="0.2">
      <c r="A1059" s="18"/>
      <c r="B1059" s="137"/>
    </row>
    <row r="1060" spans="1:2" ht="15" customHeight="1" x14ac:dyDescent="0.2">
      <c r="A1060" s="18"/>
      <c r="B1060" s="137"/>
    </row>
    <row r="1061" spans="1:2" ht="15" customHeight="1" x14ac:dyDescent="0.2">
      <c r="A1061" s="18"/>
      <c r="B1061" s="137"/>
    </row>
    <row r="1062" spans="1:2" ht="15" customHeight="1" x14ac:dyDescent="0.2">
      <c r="A1062" s="18"/>
      <c r="B1062" s="137"/>
    </row>
    <row r="1063" spans="1:2" ht="15" customHeight="1" x14ac:dyDescent="0.2">
      <c r="A1063" s="18"/>
      <c r="B1063" s="137"/>
    </row>
    <row r="1064" spans="1:2" ht="15" customHeight="1" x14ac:dyDescent="0.2">
      <c r="A1064" s="18"/>
      <c r="B1064" s="137"/>
    </row>
    <row r="1065" spans="1:2" ht="15" customHeight="1" x14ac:dyDescent="0.2">
      <c r="A1065" s="18"/>
      <c r="B1065" s="137"/>
    </row>
    <row r="1066" spans="1:2" ht="15" customHeight="1" x14ac:dyDescent="0.2">
      <c r="A1066" s="18"/>
      <c r="B1066" s="137"/>
    </row>
    <row r="1067" spans="1:2" ht="15" customHeight="1" x14ac:dyDescent="0.2">
      <c r="A1067" s="18"/>
      <c r="B1067" s="137"/>
    </row>
    <row r="1068" spans="1:2" ht="15" customHeight="1" x14ac:dyDescent="0.2">
      <c r="A1068" s="18"/>
      <c r="B1068" s="137"/>
    </row>
    <row r="1069" spans="1:2" ht="15" customHeight="1" x14ac:dyDescent="0.2">
      <c r="A1069" s="18"/>
      <c r="B1069" s="137"/>
    </row>
    <row r="1070" spans="1:2" ht="15" customHeight="1" x14ac:dyDescent="0.2">
      <c r="A1070" s="18"/>
      <c r="B1070" s="137"/>
    </row>
    <row r="1071" spans="1:2" ht="15" customHeight="1" x14ac:dyDescent="0.2">
      <c r="A1071" s="18"/>
      <c r="B1071" s="137"/>
    </row>
    <row r="1072" spans="1:2" ht="15" customHeight="1" x14ac:dyDescent="0.2">
      <c r="A1072" s="18"/>
      <c r="B1072" s="137"/>
    </row>
    <row r="1073" spans="1:2" ht="15" customHeight="1" x14ac:dyDescent="0.2">
      <c r="A1073" s="18"/>
      <c r="B1073" s="137"/>
    </row>
    <row r="1074" spans="1:2" ht="15" customHeight="1" x14ac:dyDescent="0.2">
      <c r="A1074" s="18"/>
      <c r="B1074" s="137"/>
    </row>
    <row r="1075" spans="1:2" ht="15" customHeight="1" x14ac:dyDescent="0.2">
      <c r="A1075" s="18"/>
      <c r="B1075" s="137"/>
    </row>
    <row r="1076" spans="1:2" ht="15" customHeight="1" x14ac:dyDescent="0.2">
      <c r="A1076" s="18"/>
      <c r="B1076" s="137"/>
    </row>
    <row r="1077" spans="1:2" ht="15" customHeight="1" x14ac:dyDescent="0.2">
      <c r="A1077" s="18"/>
      <c r="B1077" s="137"/>
    </row>
    <row r="1078" spans="1:2" ht="15" customHeight="1" x14ac:dyDescent="0.2">
      <c r="A1078" s="18"/>
      <c r="B1078" s="137"/>
    </row>
    <row r="1079" spans="1:2" ht="15" customHeight="1" x14ac:dyDescent="0.2">
      <c r="A1079" s="18"/>
      <c r="B1079" s="137"/>
    </row>
    <row r="1080" spans="1:2" ht="15" customHeight="1" x14ac:dyDescent="0.2">
      <c r="A1080" s="18"/>
      <c r="B1080" s="137"/>
    </row>
    <row r="1081" spans="1:2" ht="15" customHeight="1" x14ac:dyDescent="0.2">
      <c r="A1081" s="18"/>
      <c r="B1081" s="137"/>
    </row>
    <row r="1082" spans="1:2" ht="15" customHeight="1" x14ac:dyDescent="0.2">
      <c r="A1082" s="18"/>
      <c r="B1082" s="137"/>
    </row>
    <row r="1083" spans="1:2" ht="15" customHeight="1" x14ac:dyDescent="0.2">
      <c r="A1083" s="18"/>
      <c r="B1083" s="137"/>
    </row>
    <row r="1084" spans="1:2" ht="15" customHeight="1" x14ac:dyDescent="0.2">
      <c r="A1084" s="18"/>
      <c r="B1084" s="137"/>
    </row>
    <row r="1085" spans="1:2" ht="15" customHeight="1" x14ac:dyDescent="0.2">
      <c r="A1085" s="18"/>
      <c r="B1085" s="137"/>
    </row>
    <row r="1086" spans="1:2" ht="15" customHeight="1" x14ac:dyDescent="0.2">
      <c r="A1086" s="18"/>
      <c r="B1086" s="137"/>
    </row>
    <row r="1087" spans="1:2" ht="15" customHeight="1" x14ac:dyDescent="0.2">
      <c r="A1087" s="18"/>
      <c r="B1087" s="137"/>
    </row>
    <row r="1088" spans="1:2" ht="15" customHeight="1" x14ac:dyDescent="0.2">
      <c r="A1088" s="18"/>
      <c r="B1088" s="137"/>
    </row>
    <row r="1089" spans="1:2" ht="15" customHeight="1" x14ac:dyDescent="0.2">
      <c r="A1089" s="18"/>
      <c r="B1089" s="137"/>
    </row>
    <row r="1090" spans="1:2" ht="15" customHeight="1" x14ac:dyDescent="0.2">
      <c r="A1090" s="18"/>
      <c r="B1090" s="137"/>
    </row>
    <row r="1091" spans="1:2" ht="15" customHeight="1" x14ac:dyDescent="0.2">
      <c r="A1091" s="18"/>
      <c r="B1091" s="137"/>
    </row>
    <row r="1092" spans="1:2" ht="15" customHeight="1" x14ac:dyDescent="0.2">
      <c r="A1092" s="18"/>
      <c r="B1092" s="137"/>
    </row>
    <row r="1093" spans="1:2" ht="15" customHeight="1" x14ac:dyDescent="0.2">
      <c r="A1093" s="18"/>
      <c r="B1093" s="137"/>
    </row>
    <row r="1094" spans="1:2" ht="15" customHeight="1" x14ac:dyDescent="0.2">
      <c r="A1094" s="18"/>
      <c r="B1094" s="137"/>
    </row>
    <row r="1095" spans="1:2" ht="15" customHeight="1" x14ac:dyDescent="0.2">
      <c r="A1095" s="18"/>
      <c r="B1095" s="137"/>
    </row>
    <row r="1096" spans="1:2" ht="15" customHeight="1" x14ac:dyDescent="0.2">
      <c r="A1096" s="18"/>
      <c r="B1096" s="137"/>
    </row>
    <row r="1097" spans="1:2" ht="15" customHeight="1" x14ac:dyDescent="0.2">
      <c r="A1097" s="18"/>
      <c r="B1097" s="137"/>
    </row>
    <row r="1098" spans="1:2" ht="15" customHeight="1" x14ac:dyDescent="0.2">
      <c r="A1098" s="18"/>
      <c r="B1098" s="137"/>
    </row>
    <row r="1099" spans="1:2" ht="15" customHeight="1" x14ac:dyDescent="0.2">
      <c r="A1099" s="18"/>
      <c r="B1099" s="137"/>
    </row>
    <row r="1100" spans="1:2" ht="15" customHeight="1" x14ac:dyDescent="0.2">
      <c r="A1100" s="18"/>
      <c r="B1100" s="137"/>
    </row>
    <row r="1101" spans="1:2" ht="15" customHeight="1" x14ac:dyDescent="0.2">
      <c r="A1101" s="18"/>
      <c r="B1101" s="137"/>
    </row>
    <row r="1102" spans="1:2" ht="15" customHeight="1" x14ac:dyDescent="0.2">
      <c r="A1102" s="18"/>
      <c r="B1102" s="137"/>
    </row>
    <row r="1103" spans="1:2" ht="15" customHeight="1" x14ac:dyDescent="0.2">
      <c r="A1103" s="18"/>
      <c r="B1103" s="137"/>
    </row>
    <row r="1104" spans="1:2" ht="15" customHeight="1" x14ac:dyDescent="0.2">
      <c r="A1104" s="18"/>
      <c r="B1104" s="137"/>
    </row>
    <row r="1105" spans="1:2" ht="15" customHeight="1" x14ac:dyDescent="0.2">
      <c r="A1105" s="18"/>
      <c r="B1105" s="137"/>
    </row>
    <row r="1106" spans="1:2" ht="15" customHeight="1" x14ac:dyDescent="0.2">
      <c r="A1106" s="18"/>
      <c r="B1106" s="137"/>
    </row>
    <row r="1107" spans="1:2" ht="15" customHeight="1" x14ac:dyDescent="0.2">
      <c r="A1107" s="18"/>
      <c r="B1107" s="137"/>
    </row>
    <row r="1108" spans="1:2" ht="15" customHeight="1" x14ac:dyDescent="0.2">
      <c r="A1108" s="18"/>
      <c r="B1108" s="137"/>
    </row>
    <row r="1109" spans="1:2" ht="15" customHeight="1" x14ac:dyDescent="0.2">
      <c r="A1109" s="18"/>
      <c r="B1109" s="137"/>
    </row>
    <row r="1110" spans="1:2" ht="15" customHeight="1" x14ac:dyDescent="0.2">
      <c r="A1110" s="18"/>
      <c r="B1110" s="137"/>
    </row>
    <row r="1111" spans="1:2" ht="15" customHeight="1" x14ac:dyDescent="0.2">
      <c r="A1111" s="18"/>
      <c r="B1111" s="137"/>
    </row>
    <row r="1112" spans="1:2" ht="15" customHeight="1" x14ac:dyDescent="0.2">
      <c r="A1112" s="18"/>
      <c r="B1112" s="137"/>
    </row>
    <row r="1113" spans="1:2" ht="15" customHeight="1" x14ac:dyDescent="0.2">
      <c r="A1113" s="18"/>
      <c r="B1113" s="137"/>
    </row>
    <row r="1114" spans="1:2" ht="15" customHeight="1" x14ac:dyDescent="0.2">
      <c r="A1114" s="18"/>
      <c r="B1114" s="137"/>
    </row>
    <row r="1115" spans="1:2" ht="15" customHeight="1" x14ac:dyDescent="0.2">
      <c r="A1115" s="18"/>
      <c r="B1115" s="137"/>
    </row>
    <row r="1116" spans="1:2" ht="15" customHeight="1" x14ac:dyDescent="0.2">
      <c r="A1116" s="18"/>
      <c r="B1116" s="137"/>
    </row>
    <row r="1117" spans="1:2" ht="15" customHeight="1" x14ac:dyDescent="0.2">
      <c r="A1117" s="18"/>
      <c r="B1117" s="137"/>
    </row>
    <row r="1118" spans="1:2" ht="15" customHeight="1" x14ac:dyDescent="0.2">
      <c r="A1118" s="18"/>
      <c r="B1118" s="137"/>
    </row>
    <row r="1119" spans="1:2" ht="15" customHeight="1" x14ac:dyDescent="0.2">
      <c r="A1119" s="18"/>
      <c r="B1119" s="137"/>
    </row>
    <row r="1120" spans="1:2" ht="15" customHeight="1" x14ac:dyDescent="0.2">
      <c r="A1120" s="18"/>
      <c r="B1120" s="137"/>
    </row>
    <row r="1121" spans="1:2" ht="15" customHeight="1" x14ac:dyDescent="0.2">
      <c r="A1121" s="18"/>
      <c r="B1121" s="137"/>
    </row>
    <row r="1122" spans="1:2" ht="15" customHeight="1" x14ac:dyDescent="0.2">
      <c r="A1122" s="18"/>
      <c r="B1122" s="137"/>
    </row>
    <row r="1123" spans="1:2" ht="15" customHeight="1" x14ac:dyDescent="0.2">
      <c r="A1123" s="18"/>
      <c r="B1123" s="137"/>
    </row>
    <row r="1124" spans="1:2" ht="15" customHeight="1" x14ac:dyDescent="0.2">
      <c r="A1124" s="18"/>
      <c r="B1124" s="137"/>
    </row>
    <row r="1125" spans="1:2" ht="15" customHeight="1" x14ac:dyDescent="0.2">
      <c r="A1125" s="18"/>
      <c r="B1125" s="137"/>
    </row>
    <row r="1126" spans="1:2" ht="15" customHeight="1" x14ac:dyDescent="0.2">
      <c r="A1126" s="18"/>
      <c r="B1126" s="137"/>
    </row>
    <row r="1127" spans="1:2" ht="15" customHeight="1" x14ac:dyDescent="0.2">
      <c r="A1127" s="18"/>
      <c r="B1127" s="137"/>
    </row>
    <row r="1128" spans="1:2" ht="15" customHeight="1" x14ac:dyDescent="0.2">
      <c r="A1128" s="18"/>
      <c r="B1128" s="137"/>
    </row>
    <row r="1129" spans="1:2" ht="15" customHeight="1" x14ac:dyDescent="0.2">
      <c r="A1129" s="18"/>
      <c r="B1129" s="137"/>
    </row>
    <row r="1130" spans="1:2" ht="15" customHeight="1" x14ac:dyDescent="0.2">
      <c r="A1130" s="18"/>
      <c r="B1130" s="137"/>
    </row>
    <row r="1131" spans="1:2" ht="15" customHeight="1" x14ac:dyDescent="0.2">
      <c r="A1131" s="18"/>
      <c r="B1131" s="137"/>
    </row>
    <row r="1132" spans="1:2" ht="15" customHeight="1" x14ac:dyDescent="0.2">
      <c r="A1132" s="18"/>
      <c r="B1132" s="137"/>
    </row>
    <row r="1133" spans="1:2" ht="15" customHeight="1" x14ac:dyDescent="0.2">
      <c r="A1133" s="18"/>
      <c r="B1133" s="137"/>
    </row>
    <row r="1134" spans="1:2" ht="15" customHeight="1" x14ac:dyDescent="0.2">
      <c r="A1134" s="18"/>
      <c r="B1134" s="137"/>
    </row>
    <row r="1135" spans="1:2" ht="15" customHeight="1" x14ac:dyDescent="0.2">
      <c r="A1135" s="18"/>
      <c r="B1135" s="137"/>
    </row>
    <row r="1136" spans="1:2" ht="15" customHeight="1" x14ac:dyDescent="0.2">
      <c r="A1136" s="18"/>
      <c r="B1136" s="137"/>
    </row>
    <row r="1137" spans="1:2" ht="15" customHeight="1" x14ac:dyDescent="0.2">
      <c r="A1137" s="18"/>
      <c r="B1137" s="137"/>
    </row>
    <row r="1138" spans="1:2" ht="15" customHeight="1" x14ac:dyDescent="0.2">
      <c r="A1138" s="18"/>
      <c r="B1138" s="137"/>
    </row>
    <row r="1139" spans="1:2" ht="15" customHeight="1" x14ac:dyDescent="0.2">
      <c r="A1139" s="18"/>
      <c r="B1139" s="137"/>
    </row>
    <row r="1140" spans="1:2" ht="15" customHeight="1" x14ac:dyDescent="0.2">
      <c r="A1140" s="18"/>
      <c r="B1140" s="137"/>
    </row>
    <row r="1141" spans="1:2" ht="15" customHeight="1" x14ac:dyDescent="0.2">
      <c r="A1141" s="18"/>
      <c r="B1141" s="137"/>
    </row>
    <row r="1142" spans="1:2" ht="15" customHeight="1" x14ac:dyDescent="0.2">
      <c r="A1142" s="18"/>
      <c r="B1142" s="137"/>
    </row>
    <row r="1143" spans="1:2" ht="15" customHeight="1" x14ac:dyDescent="0.2">
      <c r="A1143" s="18"/>
      <c r="B1143" s="137"/>
    </row>
    <row r="1144" spans="1:2" ht="15" customHeight="1" x14ac:dyDescent="0.2">
      <c r="A1144" s="18"/>
      <c r="B1144" s="137"/>
    </row>
    <row r="1145" spans="1:2" ht="15" customHeight="1" x14ac:dyDescent="0.2">
      <c r="A1145" s="18"/>
      <c r="B1145" s="137"/>
    </row>
    <row r="1146" spans="1:2" ht="15" customHeight="1" x14ac:dyDescent="0.2">
      <c r="A1146" s="18"/>
      <c r="B1146" s="137"/>
    </row>
    <row r="1147" spans="1:2" ht="15" customHeight="1" x14ac:dyDescent="0.2">
      <c r="A1147" s="18"/>
      <c r="B1147" s="137"/>
    </row>
    <row r="1148" spans="1:2" ht="15" customHeight="1" x14ac:dyDescent="0.2">
      <c r="A1148" s="18"/>
      <c r="B1148" s="137"/>
    </row>
    <row r="1149" spans="1:2" ht="15" customHeight="1" x14ac:dyDescent="0.2">
      <c r="A1149" s="18"/>
      <c r="B1149" s="137"/>
    </row>
    <row r="1150" spans="1:2" ht="15" customHeight="1" x14ac:dyDescent="0.2">
      <c r="A1150" s="18"/>
      <c r="B1150" s="137"/>
    </row>
    <row r="1151" spans="1:2" ht="15" customHeight="1" x14ac:dyDescent="0.2">
      <c r="A1151" s="18"/>
      <c r="B1151" s="137"/>
    </row>
    <row r="1152" spans="1:2" ht="15" customHeight="1" x14ac:dyDescent="0.2">
      <c r="A1152" s="18"/>
      <c r="B1152" s="137"/>
    </row>
    <row r="1153" spans="1:2" ht="15" customHeight="1" x14ac:dyDescent="0.2">
      <c r="A1153" s="18"/>
      <c r="B1153" s="137"/>
    </row>
    <row r="1154" spans="1:2" ht="15" customHeight="1" x14ac:dyDescent="0.2">
      <c r="A1154" s="18"/>
      <c r="B1154" s="137"/>
    </row>
    <row r="1155" spans="1:2" ht="15" customHeight="1" x14ac:dyDescent="0.2">
      <c r="A1155" s="18"/>
      <c r="B1155" s="137"/>
    </row>
    <row r="1156" spans="1:2" ht="15" customHeight="1" x14ac:dyDescent="0.2">
      <c r="A1156" s="18"/>
      <c r="B1156" s="137"/>
    </row>
    <row r="1157" spans="1:2" ht="15" customHeight="1" x14ac:dyDescent="0.2">
      <c r="A1157" s="18"/>
      <c r="B1157" s="137"/>
    </row>
    <row r="1158" spans="1:2" ht="15" customHeight="1" x14ac:dyDescent="0.2">
      <c r="A1158" s="18"/>
      <c r="B1158" s="137"/>
    </row>
    <row r="1159" spans="1:2" ht="15" customHeight="1" x14ac:dyDescent="0.2">
      <c r="A1159" s="18"/>
      <c r="B1159" s="137"/>
    </row>
    <row r="1160" spans="1:2" ht="15" customHeight="1" x14ac:dyDescent="0.2">
      <c r="A1160" s="18"/>
      <c r="B1160" s="137"/>
    </row>
    <row r="1161" spans="1:2" ht="15" customHeight="1" x14ac:dyDescent="0.2">
      <c r="A1161" s="18"/>
      <c r="B1161" s="137"/>
    </row>
    <row r="1162" spans="1:2" ht="15" customHeight="1" x14ac:dyDescent="0.2">
      <c r="A1162" s="18"/>
      <c r="B1162" s="137"/>
    </row>
    <row r="1163" spans="1:2" ht="15" customHeight="1" x14ac:dyDescent="0.2">
      <c r="A1163" s="18"/>
      <c r="B1163" s="137"/>
    </row>
    <row r="1164" spans="1:2" ht="15" customHeight="1" x14ac:dyDescent="0.2">
      <c r="A1164" s="18"/>
      <c r="B1164" s="137"/>
    </row>
    <row r="1165" spans="1:2" ht="15" customHeight="1" x14ac:dyDescent="0.2">
      <c r="A1165" s="18"/>
      <c r="B1165" s="137"/>
    </row>
    <row r="1166" spans="1:2" ht="15" customHeight="1" x14ac:dyDescent="0.2">
      <c r="A1166" s="18"/>
      <c r="B1166" s="137"/>
    </row>
    <row r="1167" spans="1:2" ht="15" customHeight="1" x14ac:dyDescent="0.2">
      <c r="A1167" s="18"/>
      <c r="B1167" s="137"/>
    </row>
    <row r="1168" spans="1:2" ht="15" customHeight="1" x14ac:dyDescent="0.2">
      <c r="A1168" s="18"/>
      <c r="B1168" s="137"/>
    </row>
    <row r="1169" spans="1:2" ht="15" customHeight="1" x14ac:dyDescent="0.2">
      <c r="A1169" s="18"/>
      <c r="B1169" s="137"/>
    </row>
    <row r="1170" spans="1:2" ht="15" customHeight="1" x14ac:dyDescent="0.2">
      <c r="A1170" s="18"/>
      <c r="B1170" s="137"/>
    </row>
    <row r="1171" spans="1:2" ht="15" customHeight="1" x14ac:dyDescent="0.2">
      <c r="A1171" s="18"/>
      <c r="B1171" s="137"/>
    </row>
    <row r="1172" spans="1:2" ht="15" customHeight="1" x14ac:dyDescent="0.2">
      <c r="A1172" s="18"/>
      <c r="B1172" s="137"/>
    </row>
    <row r="1173" spans="1:2" ht="15" customHeight="1" x14ac:dyDescent="0.2">
      <c r="A1173" s="18"/>
      <c r="B1173" s="137"/>
    </row>
    <row r="1174" spans="1:2" ht="15" customHeight="1" x14ac:dyDescent="0.2">
      <c r="A1174" s="18"/>
      <c r="B1174" s="137"/>
    </row>
    <row r="1175" spans="1:2" ht="15" customHeight="1" x14ac:dyDescent="0.2">
      <c r="A1175" s="18"/>
      <c r="B1175" s="137"/>
    </row>
    <row r="1176" spans="1:2" ht="15" customHeight="1" x14ac:dyDescent="0.2">
      <c r="A1176" s="18"/>
      <c r="B1176" s="137"/>
    </row>
    <row r="1177" spans="1:2" ht="15" customHeight="1" x14ac:dyDescent="0.2">
      <c r="A1177" s="18"/>
      <c r="B1177" s="137"/>
    </row>
    <row r="1178" spans="1:2" ht="15" customHeight="1" x14ac:dyDescent="0.2">
      <c r="A1178" s="18"/>
      <c r="B1178" s="137"/>
    </row>
    <row r="1179" spans="1:2" ht="15" customHeight="1" x14ac:dyDescent="0.2">
      <c r="A1179" s="18"/>
      <c r="B1179" s="137"/>
    </row>
    <row r="1180" spans="1:2" ht="15" customHeight="1" x14ac:dyDescent="0.2">
      <c r="A1180" s="18"/>
      <c r="B1180" s="137"/>
    </row>
    <row r="1181" spans="1:2" ht="15" customHeight="1" x14ac:dyDescent="0.2">
      <c r="A1181" s="18"/>
      <c r="B1181" s="137"/>
    </row>
    <row r="1182" spans="1:2" ht="15" customHeight="1" x14ac:dyDescent="0.2">
      <c r="A1182" s="18"/>
      <c r="B1182" s="137"/>
    </row>
    <row r="1183" spans="1:2" ht="15" customHeight="1" x14ac:dyDescent="0.2">
      <c r="A1183" s="18"/>
      <c r="B1183" s="137"/>
    </row>
    <row r="1184" spans="1:2" ht="15" customHeight="1" x14ac:dyDescent="0.2">
      <c r="A1184" s="18"/>
      <c r="B1184" s="137"/>
    </row>
    <row r="1185" spans="1:2" ht="15" customHeight="1" x14ac:dyDescent="0.2">
      <c r="A1185" s="18"/>
      <c r="B1185" s="137"/>
    </row>
    <row r="1186" spans="1:2" ht="15" customHeight="1" x14ac:dyDescent="0.2">
      <c r="A1186" s="18"/>
      <c r="B1186" s="137"/>
    </row>
    <row r="1187" spans="1:2" ht="15" customHeight="1" x14ac:dyDescent="0.2">
      <c r="A1187" s="18"/>
      <c r="B1187" s="137"/>
    </row>
    <row r="1188" spans="1:2" ht="15" customHeight="1" x14ac:dyDescent="0.2">
      <c r="A1188" s="18"/>
      <c r="B1188" s="137"/>
    </row>
    <row r="1189" spans="1:2" ht="15" customHeight="1" x14ac:dyDescent="0.2">
      <c r="A1189" s="18"/>
      <c r="B1189" s="137"/>
    </row>
    <row r="1190" spans="1:2" ht="15" customHeight="1" x14ac:dyDescent="0.2">
      <c r="A1190" s="18"/>
      <c r="B1190" s="137"/>
    </row>
    <row r="1191" spans="1:2" ht="15" customHeight="1" x14ac:dyDescent="0.2">
      <c r="A1191" s="18"/>
      <c r="B1191" s="137"/>
    </row>
    <row r="1192" spans="1:2" ht="15" customHeight="1" x14ac:dyDescent="0.2">
      <c r="A1192" s="18"/>
      <c r="B1192" s="137"/>
    </row>
    <row r="1193" spans="1:2" ht="15" customHeight="1" x14ac:dyDescent="0.2">
      <c r="A1193" s="18"/>
      <c r="B1193" s="137"/>
    </row>
    <row r="1194" spans="1:2" ht="15" customHeight="1" x14ac:dyDescent="0.2">
      <c r="A1194" s="18"/>
      <c r="B1194" s="137"/>
    </row>
    <row r="1195" spans="1:2" ht="15" customHeight="1" x14ac:dyDescent="0.2">
      <c r="A1195" s="18"/>
      <c r="B1195" s="137"/>
    </row>
    <row r="1196" spans="1:2" ht="15" customHeight="1" x14ac:dyDescent="0.2">
      <c r="A1196" s="18"/>
      <c r="B1196" s="137"/>
    </row>
    <row r="1197" spans="1:2" ht="15" customHeight="1" x14ac:dyDescent="0.2">
      <c r="A1197" s="18"/>
      <c r="B1197" s="137"/>
    </row>
    <row r="1198" spans="1:2" ht="15" customHeight="1" x14ac:dyDescent="0.2">
      <c r="A1198" s="18"/>
      <c r="B1198" s="137"/>
    </row>
    <row r="1199" spans="1:2" ht="15" customHeight="1" x14ac:dyDescent="0.2">
      <c r="A1199" s="18"/>
      <c r="B1199" s="137"/>
    </row>
    <row r="1200" spans="1:2" ht="15" customHeight="1" x14ac:dyDescent="0.2">
      <c r="A1200" s="18"/>
      <c r="B1200" s="137"/>
    </row>
    <row r="1201" spans="1:2" ht="15" customHeight="1" x14ac:dyDescent="0.2">
      <c r="A1201" s="18"/>
      <c r="B1201" s="137"/>
    </row>
    <row r="1202" spans="1:2" ht="15" customHeight="1" x14ac:dyDescent="0.2">
      <c r="A1202" s="18"/>
      <c r="B1202" s="137"/>
    </row>
    <row r="1203" spans="1:2" ht="15" customHeight="1" x14ac:dyDescent="0.2">
      <c r="A1203" s="18"/>
      <c r="B1203" s="137"/>
    </row>
    <row r="1204" spans="1:2" ht="15" customHeight="1" x14ac:dyDescent="0.2">
      <c r="A1204" s="18"/>
      <c r="B1204" s="137"/>
    </row>
    <row r="1205" spans="1:2" ht="15" customHeight="1" x14ac:dyDescent="0.2">
      <c r="A1205" s="18"/>
      <c r="B1205" s="137"/>
    </row>
    <row r="1206" spans="1:2" ht="15" customHeight="1" x14ac:dyDescent="0.2">
      <c r="A1206" s="18"/>
      <c r="B1206" s="137"/>
    </row>
    <row r="1207" spans="1:2" ht="15" customHeight="1" x14ac:dyDescent="0.2">
      <c r="A1207" s="18"/>
      <c r="B1207" s="137"/>
    </row>
    <row r="1208" spans="1:2" ht="15" customHeight="1" x14ac:dyDescent="0.2">
      <c r="A1208" s="18"/>
      <c r="B1208" s="137"/>
    </row>
    <row r="1209" spans="1:2" ht="15" customHeight="1" x14ac:dyDescent="0.2">
      <c r="A1209" s="18"/>
      <c r="B1209" s="137"/>
    </row>
    <row r="1210" spans="1:2" ht="15" customHeight="1" x14ac:dyDescent="0.2">
      <c r="A1210" s="18"/>
      <c r="B1210" s="137"/>
    </row>
    <row r="1211" spans="1:2" ht="15" customHeight="1" x14ac:dyDescent="0.2">
      <c r="A1211" s="18"/>
      <c r="B1211" s="137"/>
    </row>
    <row r="1212" spans="1:2" ht="15" customHeight="1" x14ac:dyDescent="0.2">
      <c r="A1212" s="18"/>
      <c r="B1212" s="137"/>
    </row>
    <row r="1213" spans="1:2" ht="15" customHeight="1" x14ac:dyDescent="0.2">
      <c r="A1213" s="18"/>
      <c r="B1213" s="137"/>
    </row>
    <row r="1214" spans="1:2" ht="15" customHeight="1" x14ac:dyDescent="0.2">
      <c r="A1214" s="18"/>
      <c r="B1214" s="137"/>
    </row>
    <row r="1215" spans="1:2" ht="15" customHeight="1" x14ac:dyDescent="0.2">
      <c r="A1215" s="18"/>
      <c r="B1215" s="137"/>
    </row>
    <row r="1216" spans="1:2" ht="15" customHeight="1" x14ac:dyDescent="0.2">
      <c r="A1216" s="18"/>
      <c r="B1216" s="137"/>
    </row>
    <row r="1217" spans="1:2" ht="15" customHeight="1" x14ac:dyDescent="0.2">
      <c r="A1217" s="18"/>
      <c r="B1217" s="137"/>
    </row>
    <row r="1218" spans="1:2" ht="15" customHeight="1" x14ac:dyDescent="0.2">
      <c r="A1218" s="18"/>
      <c r="B1218" s="137"/>
    </row>
    <row r="1219" spans="1:2" ht="15" customHeight="1" x14ac:dyDescent="0.2">
      <c r="A1219" s="18"/>
      <c r="B1219" s="137"/>
    </row>
    <row r="1220" spans="1:2" ht="15" customHeight="1" x14ac:dyDescent="0.2">
      <c r="A1220" s="18"/>
      <c r="B1220" s="137"/>
    </row>
    <row r="1221" spans="1:2" ht="15" customHeight="1" x14ac:dyDescent="0.2">
      <c r="A1221" s="18"/>
      <c r="B1221" s="137"/>
    </row>
    <row r="1222" spans="1:2" ht="15" customHeight="1" x14ac:dyDescent="0.2">
      <c r="A1222" s="18"/>
      <c r="B1222" s="137"/>
    </row>
    <row r="1223" spans="1:2" ht="15" customHeight="1" x14ac:dyDescent="0.2">
      <c r="A1223" s="18"/>
      <c r="B1223" s="137"/>
    </row>
    <row r="1224" spans="1:2" ht="15" customHeight="1" x14ac:dyDescent="0.2">
      <c r="A1224" s="18"/>
      <c r="B1224" s="137"/>
    </row>
    <row r="1225" spans="1:2" ht="15" customHeight="1" x14ac:dyDescent="0.2">
      <c r="A1225" s="18"/>
      <c r="B1225" s="137"/>
    </row>
    <row r="1226" spans="1:2" ht="15" customHeight="1" x14ac:dyDescent="0.2">
      <c r="A1226" s="18"/>
      <c r="B1226" s="137"/>
    </row>
    <row r="1227" spans="1:2" ht="15" customHeight="1" x14ac:dyDescent="0.2">
      <c r="A1227" s="18"/>
      <c r="B1227" s="137"/>
    </row>
    <row r="1228" spans="1:2" ht="15" customHeight="1" x14ac:dyDescent="0.2">
      <c r="A1228" s="18"/>
      <c r="B1228" s="137"/>
    </row>
    <row r="1229" spans="1:2" ht="15" customHeight="1" x14ac:dyDescent="0.2">
      <c r="A1229" s="18"/>
      <c r="B1229" s="137"/>
    </row>
    <row r="1230" spans="1:2" ht="15" customHeight="1" x14ac:dyDescent="0.2">
      <c r="A1230" s="18"/>
      <c r="B1230" s="137"/>
    </row>
    <row r="1231" spans="1:2" ht="15" customHeight="1" x14ac:dyDescent="0.2">
      <c r="A1231" s="18"/>
      <c r="B1231" s="137"/>
    </row>
    <row r="1232" spans="1:2" ht="15" customHeight="1" x14ac:dyDescent="0.2">
      <c r="A1232" s="18"/>
      <c r="B1232" s="137"/>
    </row>
    <row r="1233" spans="1:2" ht="15" customHeight="1" x14ac:dyDescent="0.2">
      <c r="A1233" s="18"/>
      <c r="B1233" s="137"/>
    </row>
    <row r="1234" spans="1:2" ht="15" customHeight="1" x14ac:dyDescent="0.2">
      <c r="A1234" s="18"/>
      <c r="B1234" s="137"/>
    </row>
    <row r="1235" spans="1:2" ht="15" customHeight="1" x14ac:dyDescent="0.2">
      <c r="A1235" s="18"/>
      <c r="B1235" s="137"/>
    </row>
    <row r="1236" spans="1:2" ht="15" customHeight="1" x14ac:dyDescent="0.2">
      <c r="A1236" s="18"/>
      <c r="B1236" s="137"/>
    </row>
    <row r="1237" spans="1:2" ht="15" customHeight="1" x14ac:dyDescent="0.2">
      <c r="A1237" s="18"/>
      <c r="B1237" s="137"/>
    </row>
    <row r="1238" spans="1:2" ht="15" customHeight="1" x14ac:dyDescent="0.2">
      <c r="A1238" s="18"/>
      <c r="B1238" s="137"/>
    </row>
    <row r="1239" spans="1:2" ht="15" customHeight="1" x14ac:dyDescent="0.2">
      <c r="A1239" s="18"/>
      <c r="B1239" s="137"/>
    </row>
    <row r="1240" spans="1:2" ht="15" customHeight="1" x14ac:dyDescent="0.2">
      <c r="A1240" s="18"/>
      <c r="B1240" s="137"/>
    </row>
    <row r="1241" spans="1:2" ht="15" customHeight="1" x14ac:dyDescent="0.2">
      <c r="A1241" s="18"/>
      <c r="B1241" s="137"/>
    </row>
    <row r="1242" spans="1:2" ht="15" customHeight="1" x14ac:dyDescent="0.2">
      <c r="A1242" s="18"/>
      <c r="B1242" s="137"/>
    </row>
    <row r="1243" spans="1:2" ht="15" customHeight="1" x14ac:dyDescent="0.2">
      <c r="A1243" s="18"/>
      <c r="B1243" s="137"/>
    </row>
    <row r="1244" spans="1:2" ht="15" customHeight="1" x14ac:dyDescent="0.2">
      <c r="A1244" s="18"/>
      <c r="B1244" s="137"/>
    </row>
    <row r="1245" spans="1:2" ht="15" customHeight="1" x14ac:dyDescent="0.2">
      <c r="A1245" s="18"/>
      <c r="B1245" s="137"/>
    </row>
    <row r="1246" spans="1:2" ht="15" customHeight="1" x14ac:dyDescent="0.2">
      <c r="A1246" s="18"/>
      <c r="B1246" s="137"/>
    </row>
    <row r="1247" spans="1:2" ht="15" customHeight="1" x14ac:dyDescent="0.2">
      <c r="A1247" s="18"/>
      <c r="B1247" s="137"/>
    </row>
    <row r="1248" spans="1:2" ht="15" customHeight="1" x14ac:dyDescent="0.2">
      <c r="A1248" s="18"/>
      <c r="B1248" s="137"/>
    </row>
    <row r="1249" spans="1:2" ht="15" customHeight="1" x14ac:dyDescent="0.2">
      <c r="A1249" s="18"/>
      <c r="B1249" s="137"/>
    </row>
    <row r="1250" spans="1:2" ht="15" customHeight="1" x14ac:dyDescent="0.2">
      <c r="A1250" s="18"/>
      <c r="B1250" s="137"/>
    </row>
    <row r="1251" spans="1:2" ht="15" customHeight="1" x14ac:dyDescent="0.2">
      <c r="A1251" s="18"/>
      <c r="B1251" s="137"/>
    </row>
    <row r="1252" spans="1:2" ht="15" customHeight="1" x14ac:dyDescent="0.2">
      <c r="A1252" s="18"/>
      <c r="B1252" s="137"/>
    </row>
    <row r="1253" spans="1:2" ht="15" customHeight="1" x14ac:dyDescent="0.2">
      <c r="A1253" s="18"/>
      <c r="B1253" s="137"/>
    </row>
    <row r="1254" spans="1:2" ht="15" customHeight="1" x14ac:dyDescent="0.2">
      <c r="A1254" s="18"/>
      <c r="B1254" s="137"/>
    </row>
    <row r="1255" spans="1:2" ht="15" customHeight="1" x14ac:dyDescent="0.2">
      <c r="A1255" s="18"/>
      <c r="B1255" s="137"/>
    </row>
    <row r="1256" spans="1:2" ht="15" customHeight="1" x14ac:dyDescent="0.2">
      <c r="A1256" s="18"/>
      <c r="B1256" s="137"/>
    </row>
    <row r="1257" spans="1:2" ht="15" customHeight="1" x14ac:dyDescent="0.2">
      <c r="A1257" s="18"/>
      <c r="B1257" s="137"/>
    </row>
    <row r="1258" spans="1:2" ht="15" customHeight="1" x14ac:dyDescent="0.2">
      <c r="A1258" s="18"/>
      <c r="B1258" s="137"/>
    </row>
    <row r="1259" spans="1:2" ht="15" customHeight="1" x14ac:dyDescent="0.2">
      <c r="A1259" s="18"/>
      <c r="B1259" s="137"/>
    </row>
    <row r="1260" spans="1:2" ht="15" customHeight="1" x14ac:dyDescent="0.2">
      <c r="A1260" s="18"/>
      <c r="B1260" s="137"/>
    </row>
    <row r="1261" spans="1:2" ht="15" customHeight="1" x14ac:dyDescent="0.2">
      <c r="A1261" s="18"/>
      <c r="B1261" s="137"/>
    </row>
    <row r="1262" spans="1:2" ht="15" customHeight="1" x14ac:dyDescent="0.2">
      <c r="A1262" s="18"/>
      <c r="B1262" s="137"/>
    </row>
    <row r="1263" spans="1:2" ht="15" customHeight="1" x14ac:dyDescent="0.2">
      <c r="A1263" s="18"/>
      <c r="B1263" s="137"/>
    </row>
    <row r="1264" spans="1:2" ht="15" customHeight="1" x14ac:dyDescent="0.2">
      <c r="A1264" s="18"/>
      <c r="B1264" s="137"/>
    </row>
    <row r="1265" spans="1:2" ht="15" customHeight="1" x14ac:dyDescent="0.2">
      <c r="A1265" s="18"/>
      <c r="B1265" s="137"/>
    </row>
    <row r="1266" spans="1:2" ht="15" customHeight="1" x14ac:dyDescent="0.2">
      <c r="A1266" s="18"/>
      <c r="B1266" s="137"/>
    </row>
    <row r="1267" spans="1:2" ht="15" customHeight="1" x14ac:dyDescent="0.2">
      <c r="A1267" s="18"/>
      <c r="B1267" s="137"/>
    </row>
    <row r="1268" spans="1:2" ht="15" customHeight="1" x14ac:dyDescent="0.2">
      <c r="A1268" s="18"/>
      <c r="B1268" s="137"/>
    </row>
    <row r="1269" spans="1:2" ht="15" customHeight="1" x14ac:dyDescent="0.2">
      <c r="A1269" s="18"/>
      <c r="B1269" s="137"/>
    </row>
    <row r="1270" spans="1:2" ht="15" customHeight="1" x14ac:dyDescent="0.2">
      <c r="A1270" s="18"/>
      <c r="B1270" s="137"/>
    </row>
    <row r="1271" spans="1:2" ht="15" customHeight="1" x14ac:dyDescent="0.2">
      <c r="A1271" s="18"/>
      <c r="B1271" s="137"/>
    </row>
    <row r="1272" spans="1:2" ht="15" customHeight="1" x14ac:dyDescent="0.2">
      <c r="A1272" s="18"/>
      <c r="B1272" s="137"/>
    </row>
    <row r="1273" spans="1:2" ht="15" customHeight="1" x14ac:dyDescent="0.2">
      <c r="A1273" s="18"/>
      <c r="B1273" s="137"/>
    </row>
    <row r="1274" spans="1:2" ht="15" customHeight="1" x14ac:dyDescent="0.2">
      <c r="A1274" s="18"/>
      <c r="B1274" s="137"/>
    </row>
    <row r="1275" spans="1:2" ht="15" customHeight="1" x14ac:dyDescent="0.2">
      <c r="A1275" s="18"/>
      <c r="B1275" s="137"/>
    </row>
    <row r="1276" spans="1:2" ht="15" customHeight="1" x14ac:dyDescent="0.2">
      <c r="A1276" s="18"/>
      <c r="B1276" s="137"/>
    </row>
    <row r="1277" spans="1:2" ht="15" customHeight="1" x14ac:dyDescent="0.2">
      <c r="A1277" s="18"/>
      <c r="B1277" s="137"/>
    </row>
    <row r="1278" spans="1:2" ht="15" customHeight="1" x14ac:dyDescent="0.2">
      <c r="A1278" s="18"/>
      <c r="B1278" s="137"/>
    </row>
    <row r="1279" spans="1:2" ht="15" customHeight="1" x14ac:dyDescent="0.2">
      <c r="A1279" s="18"/>
      <c r="B1279" s="137"/>
    </row>
    <row r="1280" spans="1:2" ht="15" customHeight="1" x14ac:dyDescent="0.2">
      <c r="A1280" s="18"/>
      <c r="B1280" s="137"/>
    </row>
    <row r="1281" spans="1:2" ht="15" customHeight="1" x14ac:dyDescent="0.2">
      <c r="A1281" s="18"/>
      <c r="B1281" s="137"/>
    </row>
    <row r="1282" spans="1:2" ht="15" customHeight="1" x14ac:dyDescent="0.2">
      <c r="A1282" s="18"/>
      <c r="B1282" s="137"/>
    </row>
    <row r="1283" spans="1:2" ht="15" customHeight="1" x14ac:dyDescent="0.2">
      <c r="A1283" s="18"/>
      <c r="B1283" s="137"/>
    </row>
    <row r="1284" spans="1:2" ht="15" customHeight="1" x14ac:dyDescent="0.2">
      <c r="A1284" s="18"/>
      <c r="B1284" s="137"/>
    </row>
    <row r="1285" spans="1:2" ht="15" customHeight="1" x14ac:dyDescent="0.2">
      <c r="A1285" s="18"/>
      <c r="B1285" s="137"/>
    </row>
    <row r="1286" spans="1:2" ht="15" customHeight="1" x14ac:dyDescent="0.2">
      <c r="A1286" s="18"/>
      <c r="B1286" s="137"/>
    </row>
    <row r="1287" spans="1:2" ht="15" customHeight="1" x14ac:dyDescent="0.2">
      <c r="A1287" s="18"/>
      <c r="B1287" s="137"/>
    </row>
    <row r="1288" spans="1:2" ht="15" customHeight="1" x14ac:dyDescent="0.2">
      <c r="A1288" s="18"/>
      <c r="B1288" s="137"/>
    </row>
    <row r="1289" spans="1:2" ht="15" customHeight="1" x14ac:dyDescent="0.2">
      <c r="A1289" s="18"/>
      <c r="B1289" s="137"/>
    </row>
    <row r="1290" spans="1:2" ht="15" customHeight="1" x14ac:dyDescent="0.2">
      <c r="A1290" s="18"/>
      <c r="B1290" s="137"/>
    </row>
    <row r="1291" spans="1:2" ht="15" customHeight="1" x14ac:dyDescent="0.2">
      <c r="A1291" s="18"/>
      <c r="B1291" s="137"/>
    </row>
    <row r="1292" spans="1:2" ht="15" customHeight="1" x14ac:dyDescent="0.2">
      <c r="A1292" s="18"/>
      <c r="B1292" s="137"/>
    </row>
    <row r="1293" spans="1:2" ht="15" customHeight="1" x14ac:dyDescent="0.2">
      <c r="A1293" s="18"/>
      <c r="B1293" s="137"/>
    </row>
    <row r="1294" spans="1:2" ht="15" customHeight="1" x14ac:dyDescent="0.2">
      <c r="A1294" s="18"/>
      <c r="B1294" s="137"/>
    </row>
    <row r="1295" spans="1:2" ht="15" customHeight="1" x14ac:dyDescent="0.2">
      <c r="A1295" s="18"/>
      <c r="B1295" s="137"/>
    </row>
    <row r="1296" spans="1:2" ht="15" customHeight="1" x14ac:dyDescent="0.2">
      <c r="A1296" s="18"/>
      <c r="B1296" s="137"/>
    </row>
    <row r="1297" spans="1:2" ht="15" customHeight="1" x14ac:dyDescent="0.2">
      <c r="A1297" s="18"/>
      <c r="B1297" s="137"/>
    </row>
    <row r="1298" spans="1:2" ht="15" customHeight="1" x14ac:dyDescent="0.2">
      <c r="A1298" s="18"/>
      <c r="B1298" s="137"/>
    </row>
    <row r="1299" spans="1:2" ht="15" customHeight="1" x14ac:dyDescent="0.2">
      <c r="A1299" s="18"/>
      <c r="B1299" s="137"/>
    </row>
    <row r="1300" spans="1:2" ht="15" customHeight="1" x14ac:dyDescent="0.2">
      <c r="A1300" s="18"/>
      <c r="B1300" s="137"/>
    </row>
    <row r="1301" spans="1:2" ht="15" customHeight="1" x14ac:dyDescent="0.2">
      <c r="A1301" s="18"/>
      <c r="B1301" s="137"/>
    </row>
    <row r="1302" spans="1:2" ht="15" customHeight="1" x14ac:dyDescent="0.2">
      <c r="A1302" s="18"/>
      <c r="B1302" s="137"/>
    </row>
    <row r="1303" spans="1:2" ht="15" customHeight="1" x14ac:dyDescent="0.2">
      <c r="A1303" s="18"/>
      <c r="B1303" s="137"/>
    </row>
    <row r="1304" spans="1:2" ht="15" customHeight="1" x14ac:dyDescent="0.2">
      <c r="A1304" s="18"/>
      <c r="B1304" s="137"/>
    </row>
    <row r="1305" spans="1:2" ht="15" customHeight="1" x14ac:dyDescent="0.2">
      <c r="A1305" s="18"/>
      <c r="B1305" s="137"/>
    </row>
    <row r="1306" spans="1:2" ht="15" customHeight="1" x14ac:dyDescent="0.2">
      <c r="A1306" s="18"/>
      <c r="B1306" s="137"/>
    </row>
    <row r="1307" spans="1:2" ht="15" customHeight="1" x14ac:dyDescent="0.2">
      <c r="A1307" s="18"/>
      <c r="B1307" s="137"/>
    </row>
    <row r="1308" spans="1:2" ht="15" customHeight="1" x14ac:dyDescent="0.2">
      <c r="A1308" s="18"/>
      <c r="B1308" s="137"/>
    </row>
    <row r="1309" spans="1:2" ht="15" customHeight="1" x14ac:dyDescent="0.2">
      <c r="A1309" s="18"/>
      <c r="B1309" s="137"/>
    </row>
    <row r="1310" spans="1:2" ht="15" customHeight="1" x14ac:dyDescent="0.2">
      <c r="A1310" s="18"/>
      <c r="B1310" s="137"/>
    </row>
    <row r="1311" spans="1:2" ht="15" customHeight="1" x14ac:dyDescent="0.2">
      <c r="A1311" s="18"/>
      <c r="B1311" s="137"/>
    </row>
    <row r="1312" spans="1:2" ht="15" customHeight="1" x14ac:dyDescent="0.2">
      <c r="A1312" s="18"/>
      <c r="B1312" s="137"/>
    </row>
    <row r="1313" spans="1:2" ht="15" customHeight="1" x14ac:dyDescent="0.2">
      <c r="A1313" s="18"/>
      <c r="B1313" s="137"/>
    </row>
    <row r="1314" spans="1:2" ht="15" customHeight="1" x14ac:dyDescent="0.2">
      <c r="A1314" s="18"/>
      <c r="B1314" s="137"/>
    </row>
    <row r="1315" spans="1:2" ht="15" customHeight="1" x14ac:dyDescent="0.2">
      <c r="A1315" s="18"/>
      <c r="B1315" s="137"/>
    </row>
    <row r="1316" spans="1:2" ht="15" customHeight="1" x14ac:dyDescent="0.2">
      <c r="A1316" s="18"/>
      <c r="B1316" s="137"/>
    </row>
    <row r="1317" spans="1:2" ht="15" customHeight="1" x14ac:dyDescent="0.2">
      <c r="A1317" s="18"/>
      <c r="B1317" s="137"/>
    </row>
    <row r="1318" spans="1:2" ht="15" customHeight="1" x14ac:dyDescent="0.2">
      <c r="A1318" s="18"/>
      <c r="B1318" s="137"/>
    </row>
    <row r="1319" spans="1:2" ht="15" customHeight="1" x14ac:dyDescent="0.2">
      <c r="A1319" s="18"/>
      <c r="B1319" s="137"/>
    </row>
    <row r="1320" spans="1:2" ht="15" customHeight="1" x14ac:dyDescent="0.2">
      <c r="A1320" s="18"/>
      <c r="B1320" s="137"/>
    </row>
    <row r="1321" spans="1:2" ht="15" customHeight="1" x14ac:dyDescent="0.2">
      <c r="A1321" s="18"/>
      <c r="B1321" s="137"/>
    </row>
    <row r="1322" spans="1:2" ht="15" customHeight="1" x14ac:dyDescent="0.2">
      <c r="A1322" s="18"/>
      <c r="B1322" s="137"/>
    </row>
    <row r="1323" spans="1:2" ht="15" customHeight="1" x14ac:dyDescent="0.2">
      <c r="A1323" s="18"/>
      <c r="B1323" s="137"/>
    </row>
    <row r="1324" spans="1:2" ht="15" customHeight="1" x14ac:dyDescent="0.2">
      <c r="A1324" s="18"/>
      <c r="B1324" s="137"/>
    </row>
    <row r="1325" spans="1:2" ht="15" customHeight="1" x14ac:dyDescent="0.2">
      <c r="A1325" s="18"/>
      <c r="B1325" s="137"/>
    </row>
    <row r="1326" spans="1:2" ht="15" customHeight="1" x14ac:dyDescent="0.2">
      <c r="A1326" s="18"/>
      <c r="B1326" s="137"/>
    </row>
    <row r="1327" spans="1:2" ht="15" customHeight="1" x14ac:dyDescent="0.2">
      <c r="A1327" s="18"/>
      <c r="B1327" s="137"/>
    </row>
    <row r="1328" spans="1:2" ht="15" customHeight="1" x14ac:dyDescent="0.2">
      <c r="A1328" s="18"/>
      <c r="B1328" s="137"/>
    </row>
    <row r="1329" spans="1:2" ht="15" customHeight="1" x14ac:dyDescent="0.2">
      <c r="A1329" s="18"/>
      <c r="B1329" s="137"/>
    </row>
    <row r="1330" spans="1:2" ht="15" customHeight="1" x14ac:dyDescent="0.2">
      <c r="A1330" s="18"/>
      <c r="B1330" s="137"/>
    </row>
    <row r="1331" spans="1:2" ht="15" customHeight="1" x14ac:dyDescent="0.2">
      <c r="A1331" s="18"/>
      <c r="B1331" s="137"/>
    </row>
    <row r="1332" spans="1:2" ht="15" customHeight="1" x14ac:dyDescent="0.2">
      <c r="A1332" s="18"/>
      <c r="B1332" s="137"/>
    </row>
    <row r="1333" spans="1:2" ht="15" customHeight="1" x14ac:dyDescent="0.2">
      <c r="A1333" s="18"/>
      <c r="B1333" s="137"/>
    </row>
    <row r="1334" spans="1:2" ht="15" customHeight="1" x14ac:dyDescent="0.2">
      <c r="A1334" s="18"/>
      <c r="B1334" s="137"/>
    </row>
    <row r="1335" spans="1:2" ht="15" customHeight="1" x14ac:dyDescent="0.2">
      <c r="A1335" s="18"/>
      <c r="B1335" s="137"/>
    </row>
    <row r="1336" spans="1:2" ht="15" customHeight="1" x14ac:dyDescent="0.2">
      <c r="A1336" s="18"/>
      <c r="B1336" s="137"/>
    </row>
    <row r="1337" spans="1:2" ht="15" customHeight="1" x14ac:dyDescent="0.2">
      <c r="A1337" s="18"/>
      <c r="B1337" s="137"/>
    </row>
    <row r="1338" spans="1:2" ht="15" customHeight="1" x14ac:dyDescent="0.2">
      <c r="A1338" s="18"/>
      <c r="B1338" s="137"/>
    </row>
    <row r="1339" spans="1:2" ht="15" customHeight="1" x14ac:dyDescent="0.2">
      <c r="A1339" s="18"/>
      <c r="B1339" s="137"/>
    </row>
    <row r="1340" spans="1:2" ht="15" customHeight="1" x14ac:dyDescent="0.2">
      <c r="A1340" s="18"/>
      <c r="B1340" s="137"/>
    </row>
    <row r="1341" spans="1:2" ht="15" customHeight="1" x14ac:dyDescent="0.2">
      <c r="A1341" s="18"/>
      <c r="B1341" s="137"/>
    </row>
    <row r="1342" spans="1:2" ht="15" customHeight="1" x14ac:dyDescent="0.2">
      <c r="A1342" s="18"/>
      <c r="B1342" s="137"/>
    </row>
    <row r="1343" spans="1:2" ht="15" customHeight="1" x14ac:dyDescent="0.2">
      <c r="A1343" s="18"/>
      <c r="B1343" s="137"/>
    </row>
    <row r="1344" spans="1:2" ht="15" customHeight="1" x14ac:dyDescent="0.2">
      <c r="A1344" s="18"/>
      <c r="B1344" s="137"/>
    </row>
    <row r="1345" spans="1:2" ht="15" customHeight="1" x14ac:dyDescent="0.2">
      <c r="A1345" s="18"/>
      <c r="B1345" s="137"/>
    </row>
    <row r="1346" spans="1:2" ht="15" customHeight="1" x14ac:dyDescent="0.2">
      <c r="A1346" s="18"/>
      <c r="B1346" s="137"/>
    </row>
    <row r="1347" spans="1:2" ht="15" customHeight="1" x14ac:dyDescent="0.2">
      <c r="A1347" s="18"/>
      <c r="B1347" s="137"/>
    </row>
    <row r="1348" spans="1:2" ht="15" customHeight="1" x14ac:dyDescent="0.2">
      <c r="A1348" s="18"/>
      <c r="B1348" s="137"/>
    </row>
    <row r="1349" spans="1:2" ht="15" customHeight="1" x14ac:dyDescent="0.2">
      <c r="A1349" s="18"/>
      <c r="B1349" s="137"/>
    </row>
    <row r="1350" spans="1:2" ht="15" customHeight="1" x14ac:dyDescent="0.2">
      <c r="A1350" s="18"/>
      <c r="B1350" s="137"/>
    </row>
    <row r="1351" spans="1:2" ht="15" customHeight="1" x14ac:dyDescent="0.2">
      <c r="A1351" s="18"/>
      <c r="B1351" s="137"/>
    </row>
    <row r="1352" spans="1:2" ht="15" customHeight="1" x14ac:dyDescent="0.2">
      <c r="A1352" s="18"/>
      <c r="B1352" s="137"/>
    </row>
    <row r="1353" spans="1:2" ht="15" customHeight="1" x14ac:dyDescent="0.2">
      <c r="A1353" s="18"/>
      <c r="B1353" s="137"/>
    </row>
    <row r="1354" spans="1:2" ht="15" customHeight="1" x14ac:dyDescent="0.2">
      <c r="A1354" s="18"/>
      <c r="B1354" s="137"/>
    </row>
    <row r="1355" spans="1:2" ht="15" customHeight="1" x14ac:dyDescent="0.2">
      <c r="A1355" s="18"/>
      <c r="B1355" s="137"/>
    </row>
    <row r="1356" spans="1:2" ht="15" customHeight="1" x14ac:dyDescent="0.2">
      <c r="A1356" s="18"/>
      <c r="B1356" s="137"/>
    </row>
    <row r="1357" spans="1:2" ht="15" customHeight="1" x14ac:dyDescent="0.2">
      <c r="A1357" s="18"/>
      <c r="B1357" s="137"/>
    </row>
    <row r="1358" spans="1:2" ht="15" customHeight="1" x14ac:dyDescent="0.2">
      <c r="A1358" s="18"/>
      <c r="B1358" s="137"/>
    </row>
    <row r="1359" spans="1:2" ht="15" customHeight="1" x14ac:dyDescent="0.2">
      <c r="A1359" s="18"/>
      <c r="B1359" s="137"/>
    </row>
    <row r="1360" spans="1:2" ht="15" customHeight="1" x14ac:dyDescent="0.2">
      <c r="A1360" s="18"/>
      <c r="B1360" s="137"/>
    </row>
    <row r="1361" spans="1:2" ht="15" customHeight="1" x14ac:dyDescent="0.2">
      <c r="A1361" s="18"/>
      <c r="B1361" s="137"/>
    </row>
    <row r="1362" spans="1:2" ht="15" customHeight="1" x14ac:dyDescent="0.2">
      <c r="A1362" s="18"/>
      <c r="B1362" s="137"/>
    </row>
    <row r="1363" spans="1:2" ht="15" customHeight="1" x14ac:dyDescent="0.2">
      <c r="A1363" s="18"/>
      <c r="B1363" s="137"/>
    </row>
    <row r="1364" spans="1:2" ht="15" customHeight="1" x14ac:dyDescent="0.2">
      <c r="A1364" s="18"/>
      <c r="B1364" s="137"/>
    </row>
    <row r="1365" spans="1:2" ht="15" customHeight="1" x14ac:dyDescent="0.2">
      <c r="A1365" s="18"/>
      <c r="B1365" s="137"/>
    </row>
    <row r="1366" spans="1:2" ht="15" customHeight="1" x14ac:dyDescent="0.2">
      <c r="A1366" s="18"/>
      <c r="B1366" s="137"/>
    </row>
    <row r="1367" spans="1:2" ht="15" customHeight="1" x14ac:dyDescent="0.2">
      <c r="A1367" s="18"/>
      <c r="B1367" s="137"/>
    </row>
    <row r="1368" spans="1:2" ht="15" customHeight="1" x14ac:dyDescent="0.2">
      <c r="A1368" s="18"/>
      <c r="B1368" s="137"/>
    </row>
    <row r="1369" spans="1:2" ht="15" customHeight="1" x14ac:dyDescent="0.2">
      <c r="A1369" s="18"/>
      <c r="B1369" s="137"/>
    </row>
    <row r="1370" spans="1:2" ht="15" customHeight="1" x14ac:dyDescent="0.2">
      <c r="A1370" s="18"/>
      <c r="B1370" s="137"/>
    </row>
    <row r="1371" spans="1:2" ht="15" customHeight="1" x14ac:dyDescent="0.2">
      <c r="A1371" s="18"/>
      <c r="B1371" s="137"/>
    </row>
    <row r="1372" spans="1:2" ht="15" customHeight="1" x14ac:dyDescent="0.2">
      <c r="A1372" s="18"/>
      <c r="B1372" s="137"/>
    </row>
    <row r="1373" spans="1:2" ht="15" customHeight="1" x14ac:dyDescent="0.2">
      <c r="A1373" s="18"/>
      <c r="B1373" s="137"/>
    </row>
    <row r="1374" spans="1:2" ht="15" customHeight="1" x14ac:dyDescent="0.2">
      <c r="A1374" s="18"/>
      <c r="B1374" s="137"/>
    </row>
    <row r="1375" spans="1:2" ht="15" customHeight="1" x14ac:dyDescent="0.2">
      <c r="A1375" s="18"/>
      <c r="B1375" s="137"/>
    </row>
    <row r="1376" spans="1:2" ht="15" customHeight="1" x14ac:dyDescent="0.2">
      <c r="A1376" s="18"/>
      <c r="B1376" s="137"/>
    </row>
    <row r="1377" spans="1:2" ht="15" customHeight="1" x14ac:dyDescent="0.2">
      <c r="A1377" s="18"/>
      <c r="B1377" s="137"/>
    </row>
    <row r="1378" spans="1:2" ht="15" customHeight="1" x14ac:dyDescent="0.2">
      <c r="A1378" s="18"/>
      <c r="B1378" s="137"/>
    </row>
    <row r="1379" spans="1:2" ht="15" customHeight="1" x14ac:dyDescent="0.2">
      <c r="A1379" s="18"/>
      <c r="B1379" s="137"/>
    </row>
    <row r="1380" spans="1:2" ht="15" customHeight="1" x14ac:dyDescent="0.2">
      <c r="A1380" s="18"/>
      <c r="B1380" s="137"/>
    </row>
    <row r="1381" spans="1:2" ht="15" customHeight="1" x14ac:dyDescent="0.2">
      <c r="A1381" s="18"/>
      <c r="B1381" s="137"/>
    </row>
    <row r="1382" spans="1:2" ht="15" customHeight="1" x14ac:dyDescent="0.2">
      <c r="A1382" s="18"/>
      <c r="B1382" s="137"/>
    </row>
    <row r="1383" spans="1:2" ht="15" customHeight="1" x14ac:dyDescent="0.2">
      <c r="A1383" s="18"/>
      <c r="B1383" s="137"/>
    </row>
    <row r="1384" spans="1:2" ht="15" customHeight="1" x14ac:dyDescent="0.2">
      <c r="A1384" s="18"/>
      <c r="B1384" s="137"/>
    </row>
    <row r="1385" spans="1:2" ht="15" customHeight="1" x14ac:dyDescent="0.2">
      <c r="A1385" s="18"/>
      <c r="B1385" s="137"/>
    </row>
    <row r="1386" spans="1:2" ht="15" customHeight="1" x14ac:dyDescent="0.2">
      <c r="A1386" s="18"/>
      <c r="B1386" s="137"/>
    </row>
    <row r="1387" spans="1:2" ht="15" customHeight="1" x14ac:dyDescent="0.2">
      <c r="A1387" s="18"/>
      <c r="B1387" s="137"/>
    </row>
    <row r="1388" spans="1:2" ht="15" customHeight="1" x14ac:dyDescent="0.2">
      <c r="A1388" s="18"/>
      <c r="B1388" s="137"/>
    </row>
    <row r="1389" spans="1:2" ht="15" customHeight="1" x14ac:dyDescent="0.2">
      <c r="A1389" s="18"/>
      <c r="B1389" s="137"/>
    </row>
    <row r="1390" spans="1:2" ht="15" customHeight="1" x14ac:dyDescent="0.2">
      <c r="A1390" s="18"/>
      <c r="B1390" s="137"/>
    </row>
    <row r="1391" spans="1:2" ht="15" customHeight="1" x14ac:dyDescent="0.2">
      <c r="A1391" s="18"/>
      <c r="B1391" s="137"/>
    </row>
    <row r="1392" spans="1:2" ht="15" customHeight="1" x14ac:dyDescent="0.2">
      <c r="A1392" s="18"/>
      <c r="B1392" s="137"/>
    </row>
    <row r="1393" spans="1:2" ht="15" customHeight="1" x14ac:dyDescent="0.2">
      <c r="A1393" s="18"/>
      <c r="B1393" s="137"/>
    </row>
    <row r="1394" spans="1:2" ht="15" customHeight="1" x14ac:dyDescent="0.2">
      <c r="A1394" s="18"/>
      <c r="B1394" s="137"/>
    </row>
    <row r="1395" spans="1:2" ht="15" customHeight="1" x14ac:dyDescent="0.2">
      <c r="A1395" s="18"/>
      <c r="B1395" s="137"/>
    </row>
    <row r="1396" spans="1:2" ht="15" customHeight="1" x14ac:dyDescent="0.2">
      <c r="A1396" s="18"/>
      <c r="B1396" s="137"/>
    </row>
    <row r="1397" spans="1:2" ht="15" customHeight="1" x14ac:dyDescent="0.2">
      <c r="A1397" s="18"/>
      <c r="B1397" s="137"/>
    </row>
    <row r="1398" spans="1:2" ht="15" customHeight="1" x14ac:dyDescent="0.2">
      <c r="A1398" s="18"/>
      <c r="B1398" s="137"/>
    </row>
    <row r="1399" spans="1:2" ht="15" customHeight="1" x14ac:dyDescent="0.2">
      <c r="A1399" s="18"/>
      <c r="B1399" s="137"/>
    </row>
    <row r="1400" spans="1:2" ht="15" customHeight="1" x14ac:dyDescent="0.2">
      <c r="A1400" s="18"/>
      <c r="B1400" s="137"/>
    </row>
    <row r="1401" spans="1:2" ht="15" customHeight="1" x14ac:dyDescent="0.2">
      <c r="A1401" s="18"/>
      <c r="B1401" s="137"/>
    </row>
    <row r="1402" spans="1:2" ht="15" customHeight="1" x14ac:dyDescent="0.2">
      <c r="A1402" s="18"/>
      <c r="B1402" s="137"/>
    </row>
    <row r="1403" spans="1:2" ht="15" customHeight="1" x14ac:dyDescent="0.2">
      <c r="A1403" s="18"/>
      <c r="B1403" s="137"/>
    </row>
    <row r="1404" spans="1:2" ht="15" customHeight="1" x14ac:dyDescent="0.2">
      <c r="A1404" s="18"/>
      <c r="B1404" s="137"/>
    </row>
    <row r="1405" spans="1:2" ht="15" customHeight="1" x14ac:dyDescent="0.2">
      <c r="A1405" s="18"/>
      <c r="B1405" s="137"/>
    </row>
    <row r="1406" spans="1:2" ht="15" customHeight="1" x14ac:dyDescent="0.2">
      <c r="A1406" s="18"/>
      <c r="B1406" s="137"/>
    </row>
    <row r="1407" spans="1:2" ht="15" customHeight="1" x14ac:dyDescent="0.2">
      <c r="A1407" s="18"/>
      <c r="B1407" s="137"/>
    </row>
    <row r="1408" spans="1:2" ht="15" customHeight="1" x14ac:dyDescent="0.2">
      <c r="A1408" s="18"/>
      <c r="B1408" s="137"/>
    </row>
    <row r="1409" spans="1:2" ht="15" customHeight="1" x14ac:dyDescent="0.2">
      <c r="A1409" s="18"/>
      <c r="B1409" s="137"/>
    </row>
    <row r="1410" spans="1:2" ht="15" customHeight="1" x14ac:dyDescent="0.2">
      <c r="A1410" s="18"/>
      <c r="B1410" s="137"/>
    </row>
    <row r="1411" spans="1:2" ht="15" customHeight="1" x14ac:dyDescent="0.2">
      <c r="A1411" s="18"/>
      <c r="B1411" s="137"/>
    </row>
    <row r="1412" spans="1:2" ht="15" customHeight="1" x14ac:dyDescent="0.2">
      <c r="A1412" s="18"/>
      <c r="B1412" s="137"/>
    </row>
    <row r="1413" spans="1:2" ht="15" customHeight="1" x14ac:dyDescent="0.2">
      <c r="A1413" s="18"/>
      <c r="B1413" s="137"/>
    </row>
    <row r="1414" spans="1:2" ht="15" customHeight="1" x14ac:dyDescent="0.2">
      <c r="A1414" s="18"/>
      <c r="B1414" s="137"/>
    </row>
    <row r="1415" spans="1:2" ht="15" customHeight="1" x14ac:dyDescent="0.2">
      <c r="A1415" s="18"/>
      <c r="B1415" s="137"/>
    </row>
    <row r="1416" spans="1:2" ht="15" customHeight="1" x14ac:dyDescent="0.2">
      <c r="A1416" s="18"/>
      <c r="B1416" s="137"/>
    </row>
    <row r="1417" spans="1:2" ht="15" customHeight="1" x14ac:dyDescent="0.2">
      <c r="A1417" s="18"/>
      <c r="B1417" s="137"/>
    </row>
    <row r="1418" spans="1:2" ht="15" customHeight="1" x14ac:dyDescent="0.2">
      <c r="A1418" s="18"/>
      <c r="B1418" s="137"/>
    </row>
    <row r="1419" spans="1:2" ht="15" customHeight="1" x14ac:dyDescent="0.2">
      <c r="A1419" s="18"/>
      <c r="B1419" s="137"/>
    </row>
    <row r="1420" spans="1:2" ht="15" customHeight="1" x14ac:dyDescent="0.2">
      <c r="A1420" s="18"/>
      <c r="B1420" s="137"/>
    </row>
    <row r="1421" spans="1:2" ht="15" customHeight="1" x14ac:dyDescent="0.2">
      <c r="A1421" s="18"/>
      <c r="B1421" s="137"/>
    </row>
    <row r="1422" spans="1:2" ht="15" customHeight="1" x14ac:dyDescent="0.2">
      <c r="A1422" s="18"/>
      <c r="B1422" s="137"/>
    </row>
    <row r="1423" spans="1:2" ht="15" customHeight="1" x14ac:dyDescent="0.2">
      <c r="A1423" s="18"/>
      <c r="B1423" s="137"/>
    </row>
    <row r="1424" spans="1:2" ht="15" customHeight="1" x14ac:dyDescent="0.2">
      <c r="A1424" s="18"/>
      <c r="B1424" s="137"/>
    </row>
    <row r="1425" spans="1:2" ht="15" customHeight="1" x14ac:dyDescent="0.2">
      <c r="A1425" s="18"/>
      <c r="B1425" s="137"/>
    </row>
    <row r="1426" spans="1:2" ht="15" customHeight="1" x14ac:dyDescent="0.2">
      <c r="A1426" s="18"/>
      <c r="B1426" s="137"/>
    </row>
    <row r="1427" spans="1:2" ht="15" customHeight="1" x14ac:dyDescent="0.2">
      <c r="A1427" s="18"/>
      <c r="B1427" s="137"/>
    </row>
    <row r="1428" spans="1:2" ht="15" customHeight="1" x14ac:dyDescent="0.2">
      <c r="A1428" s="18"/>
      <c r="B1428" s="137"/>
    </row>
    <row r="1429" spans="1:2" ht="15" customHeight="1" x14ac:dyDescent="0.2">
      <c r="A1429" s="18"/>
      <c r="B1429" s="137"/>
    </row>
    <row r="1430" spans="1:2" ht="15" customHeight="1" x14ac:dyDescent="0.2">
      <c r="A1430" s="18"/>
      <c r="B1430" s="137"/>
    </row>
    <row r="1431" spans="1:2" ht="15" customHeight="1" x14ac:dyDescent="0.2">
      <c r="A1431" s="18"/>
      <c r="B1431" s="137"/>
    </row>
    <row r="1432" spans="1:2" ht="15" customHeight="1" x14ac:dyDescent="0.2">
      <c r="A1432" s="18"/>
      <c r="B1432" s="137"/>
    </row>
    <row r="1433" spans="1:2" ht="15" customHeight="1" x14ac:dyDescent="0.2">
      <c r="A1433" s="18"/>
      <c r="B1433" s="137"/>
    </row>
    <row r="1434" spans="1:2" ht="15" customHeight="1" x14ac:dyDescent="0.2">
      <c r="A1434" s="18"/>
      <c r="B1434" s="137"/>
    </row>
    <row r="1435" spans="1:2" ht="15" customHeight="1" x14ac:dyDescent="0.2">
      <c r="A1435" s="18"/>
      <c r="B1435" s="137"/>
    </row>
    <row r="1436" spans="1:2" ht="15" customHeight="1" x14ac:dyDescent="0.2">
      <c r="A1436" s="18"/>
      <c r="B1436" s="137"/>
    </row>
    <row r="1437" spans="1:2" ht="15" customHeight="1" x14ac:dyDescent="0.2">
      <c r="A1437" s="18"/>
      <c r="B1437" s="137"/>
    </row>
    <row r="1438" spans="1:2" ht="15" customHeight="1" x14ac:dyDescent="0.2">
      <c r="A1438" s="18"/>
      <c r="B1438" s="137"/>
    </row>
    <row r="1439" spans="1:2" ht="15" customHeight="1" x14ac:dyDescent="0.2">
      <c r="A1439" s="18"/>
      <c r="B1439" s="137"/>
    </row>
    <row r="1440" spans="1:2" ht="15" customHeight="1" x14ac:dyDescent="0.2">
      <c r="A1440" s="18"/>
      <c r="B1440" s="137"/>
    </row>
    <row r="1441" spans="1:2" ht="15" customHeight="1" x14ac:dyDescent="0.2">
      <c r="A1441" s="18"/>
      <c r="B1441" s="137"/>
    </row>
    <row r="1442" spans="1:2" ht="15" customHeight="1" x14ac:dyDescent="0.2">
      <c r="A1442" s="18"/>
      <c r="B1442" s="137"/>
    </row>
    <row r="1443" spans="1:2" ht="15" customHeight="1" x14ac:dyDescent="0.2">
      <c r="A1443" s="18"/>
      <c r="B1443" s="137"/>
    </row>
    <row r="1444" spans="1:2" ht="15" customHeight="1" x14ac:dyDescent="0.2">
      <c r="A1444" s="18"/>
      <c r="B1444" s="137"/>
    </row>
    <row r="1445" spans="1:2" ht="15" customHeight="1" x14ac:dyDescent="0.2">
      <c r="A1445" s="18"/>
      <c r="B1445" s="137"/>
    </row>
    <row r="1446" spans="1:2" ht="15" customHeight="1" x14ac:dyDescent="0.2">
      <c r="A1446" s="18"/>
      <c r="B1446" s="137"/>
    </row>
    <row r="1447" spans="1:2" ht="15" customHeight="1" x14ac:dyDescent="0.2">
      <c r="A1447" s="18"/>
      <c r="B1447" s="137"/>
    </row>
    <row r="1448" spans="1:2" ht="15" customHeight="1" x14ac:dyDescent="0.2">
      <c r="A1448" s="18"/>
      <c r="B1448" s="137"/>
    </row>
    <row r="1449" spans="1:2" ht="15" customHeight="1" x14ac:dyDescent="0.2">
      <c r="A1449" s="18"/>
      <c r="B1449" s="137"/>
    </row>
    <row r="1450" spans="1:2" ht="15" customHeight="1" x14ac:dyDescent="0.2">
      <c r="A1450" s="18"/>
      <c r="B1450" s="137"/>
    </row>
    <row r="1451" spans="1:2" ht="15" customHeight="1" x14ac:dyDescent="0.2">
      <c r="A1451" s="18"/>
      <c r="B1451" s="137"/>
    </row>
    <row r="1452" spans="1:2" ht="15" customHeight="1" x14ac:dyDescent="0.2">
      <c r="A1452" s="18"/>
      <c r="B1452" s="137"/>
    </row>
    <row r="1453" spans="1:2" ht="15" customHeight="1" x14ac:dyDescent="0.2">
      <c r="A1453" s="18"/>
      <c r="B1453" s="137"/>
    </row>
    <row r="1454" spans="1:2" ht="15" customHeight="1" x14ac:dyDescent="0.2">
      <c r="A1454" s="18"/>
      <c r="B1454" s="137"/>
    </row>
    <row r="1455" spans="1:2" ht="15" customHeight="1" x14ac:dyDescent="0.2">
      <c r="A1455" s="18"/>
      <c r="B1455" s="137"/>
    </row>
    <row r="1456" spans="1:2" ht="15" customHeight="1" x14ac:dyDescent="0.2">
      <c r="A1456" s="18"/>
      <c r="B1456" s="137"/>
    </row>
    <row r="1457" spans="1:2" ht="15" customHeight="1" x14ac:dyDescent="0.2">
      <c r="A1457" s="18"/>
      <c r="B1457" s="137"/>
    </row>
    <row r="1458" spans="1:2" ht="15" customHeight="1" x14ac:dyDescent="0.2">
      <c r="A1458" s="18"/>
      <c r="B1458" s="137"/>
    </row>
    <row r="1459" spans="1:2" ht="15" customHeight="1" x14ac:dyDescent="0.2">
      <c r="A1459" s="18"/>
      <c r="B1459" s="137"/>
    </row>
    <row r="1460" spans="1:2" ht="15" customHeight="1" x14ac:dyDescent="0.2">
      <c r="A1460" s="18"/>
      <c r="B1460" s="137"/>
    </row>
    <row r="1461" spans="1:2" ht="15" customHeight="1" x14ac:dyDescent="0.2">
      <c r="A1461" s="18"/>
      <c r="B1461" s="137"/>
    </row>
    <row r="1462" spans="1:2" ht="15" customHeight="1" x14ac:dyDescent="0.2">
      <c r="A1462" s="18"/>
      <c r="B1462" s="137"/>
    </row>
    <row r="1463" spans="1:2" ht="15" customHeight="1" x14ac:dyDescent="0.2">
      <c r="A1463" s="18"/>
      <c r="B1463" s="137"/>
    </row>
    <row r="1464" spans="1:2" ht="15" customHeight="1" x14ac:dyDescent="0.2">
      <c r="A1464" s="18"/>
      <c r="B1464" s="137"/>
    </row>
    <row r="1465" spans="1:2" ht="15" customHeight="1" x14ac:dyDescent="0.2">
      <c r="A1465" s="18"/>
      <c r="B1465" s="137"/>
    </row>
    <row r="1466" spans="1:2" ht="15" customHeight="1" x14ac:dyDescent="0.2">
      <c r="A1466" s="18"/>
      <c r="B1466" s="137"/>
    </row>
    <row r="1467" spans="1:2" ht="15" customHeight="1" x14ac:dyDescent="0.2">
      <c r="A1467" s="18"/>
      <c r="B1467" s="137"/>
    </row>
    <row r="1468" spans="1:2" ht="15" customHeight="1" x14ac:dyDescent="0.2">
      <c r="A1468" s="18"/>
      <c r="B1468" s="137"/>
    </row>
    <row r="1469" spans="1:2" ht="15" customHeight="1" x14ac:dyDescent="0.2">
      <c r="A1469" s="18"/>
      <c r="B1469" s="137"/>
    </row>
    <row r="1470" spans="1:2" ht="15" customHeight="1" x14ac:dyDescent="0.2">
      <c r="A1470" s="18"/>
      <c r="B1470" s="137"/>
    </row>
    <row r="1471" spans="1:2" ht="15" customHeight="1" x14ac:dyDescent="0.2">
      <c r="A1471" s="18"/>
      <c r="B1471" s="137"/>
    </row>
    <row r="1472" spans="1:2" ht="15" customHeight="1" x14ac:dyDescent="0.2">
      <c r="A1472" s="18"/>
      <c r="B1472" s="137"/>
    </row>
    <row r="1473" spans="1:2" ht="15" customHeight="1" x14ac:dyDescent="0.2">
      <c r="A1473" s="18"/>
      <c r="B1473" s="137"/>
    </row>
    <row r="1474" spans="1:2" ht="15" customHeight="1" x14ac:dyDescent="0.2">
      <c r="A1474" s="18"/>
      <c r="B1474" s="137"/>
    </row>
    <row r="1475" spans="1:2" ht="15" customHeight="1" x14ac:dyDescent="0.2">
      <c r="A1475" s="18"/>
      <c r="B1475" s="137"/>
    </row>
    <row r="1476" spans="1:2" ht="15" customHeight="1" x14ac:dyDescent="0.2">
      <c r="A1476" s="18"/>
      <c r="B1476" s="137"/>
    </row>
    <row r="1477" spans="1:2" ht="15" customHeight="1" x14ac:dyDescent="0.2">
      <c r="A1477" s="18"/>
      <c r="B1477" s="137"/>
    </row>
    <row r="1478" spans="1:2" ht="15" customHeight="1" x14ac:dyDescent="0.2">
      <c r="A1478" s="18"/>
      <c r="B1478" s="137"/>
    </row>
    <row r="1479" spans="1:2" ht="15" customHeight="1" x14ac:dyDescent="0.2">
      <c r="A1479" s="18"/>
      <c r="B1479" s="137"/>
    </row>
    <row r="1480" spans="1:2" ht="15" customHeight="1" x14ac:dyDescent="0.2">
      <c r="A1480" s="18"/>
      <c r="B1480" s="137"/>
    </row>
    <row r="1481" spans="1:2" ht="15" customHeight="1" x14ac:dyDescent="0.2">
      <c r="A1481" s="18"/>
      <c r="B1481" s="137"/>
    </row>
    <row r="1482" spans="1:2" ht="15" customHeight="1" x14ac:dyDescent="0.2">
      <c r="A1482" s="18"/>
      <c r="B1482" s="137"/>
    </row>
    <row r="1483" spans="1:2" ht="15" customHeight="1" x14ac:dyDescent="0.2">
      <c r="A1483" s="18"/>
      <c r="B1483" s="137"/>
    </row>
    <row r="1484" spans="1:2" ht="15" customHeight="1" x14ac:dyDescent="0.2">
      <c r="A1484" s="18"/>
      <c r="B1484" s="137"/>
    </row>
    <row r="1485" spans="1:2" ht="15" customHeight="1" x14ac:dyDescent="0.2">
      <c r="A1485" s="18"/>
      <c r="B1485" s="137"/>
    </row>
    <row r="1486" spans="1:2" ht="15" customHeight="1" x14ac:dyDescent="0.2">
      <c r="A1486" s="18"/>
      <c r="B1486" s="137"/>
    </row>
    <row r="1487" spans="1:2" ht="15" customHeight="1" x14ac:dyDescent="0.2">
      <c r="A1487" s="18"/>
      <c r="B1487" s="137"/>
    </row>
    <row r="1488" spans="1:2" ht="15" customHeight="1" x14ac:dyDescent="0.2">
      <c r="A1488" s="18"/>
      <c r="B1488" s="137"/>
    </row>
    <row r="1489" spans="1:2" ht="15" customHeight="1" x14ac:dyDescent="0.2">
      <c r="A1489" s="18"/>
      <c r="B1489" s="137"/>
    </row>
    <row r="1490" spans="1:2" ht="15" customHeight="1" x14ac:dyDescent="0.2">
      <c r="A1490" s="18"/>
      <c r="B1490" s="137"/>
    </row>
    <row r="1491" spans="1:2" ht="15" customHeight="1" x14ac:dyDescent="0.2">
      <c r="A1491" s="18"/>
      <c r="B1491" s="137"/>
    </row>
    <row r="1492" spans="1:2" ht="15" customHeight="1" x14ac:dyDescent="0.2">
      <c r="A1492" s="18"/>
      <c r="B1492" s="137"/>
    </row>
    <row r="1493" spans="1:2" ht="15" customHeight="1" x14ac:dyDescent="0.2">
      <c r="A1493" s="18"/>
      <c r="B1493" s="137"/>
    </row>
    <row r="1494" spans="1:2" ht="15" customHeight="1" x14ac:dyDescent="0.2">
      <c r="A1494" s="18"/>
      <c r="B1494" s="137"/>
    </row>
    <row r="1495" spans="1:2" ht="15" customHeight="1" x14ac:dyDescent="0.2">
      <c r="A1495" s="18"/>
      <c r="B1495" s="137"/>
    </row>
    <row r="1496" spans="1:2" ht="15" customHeight="1" x14ac:dyDescent="0.2">
      <c r="A1496" s="18"/>
      <c r="B1496" s="137"/>
    </row>
    <row r="1497" spans="1:2" ht="15" customHeight="1" x14ac:dyDescent="0.2">
      <c r="A1497" s="18"/>
      <c r="B1497" s="137"/>
    </row>
    <row r="1498" spans="1:2" ht="15" customHeight="1" x14ac:dyDescent="0.2">
      <c r="A1498" s="18"/>
      <c r="B1498" s="137"/>
    </row>
    <row r="1499" spans="1:2" ht="15" customHeight="1" x14ac:dyDescent="0.2">
      <c r="A1499" s="18"/>
      <c r="B1499" s="137"/>
    </row>
    <row r="1500" spans="1:2" ht="15" customHeight="1" x14ac:dyDescent="0.2">
      <c r="A1500" s="18"/>
      <c r="B1500" s="137"/>
    </row>
    <row r="1501" spans="1:2" ht="15" customHeight="1" x14ac:dyDescent="0.2">
      <c r="A1501" s="18"/>
      <c r="B1501" s="137"/>
    </row>
    <row r="1502" spans="1:2" ht="15" customHeight="1" x14ac:dyDescent="0.2">
      <c r="A1502" s="18"/>
      <c r="B1502" s="137"/>
    </row>
    <row r="1503" spans="1:2" ht="15" customHeight="1" x14ac:dyDescent="0.2">
      <c r="A1503" s="18"/>
      <c r="B1503" s="137"/>
    </row>
    <row r="1504" spans="1:2" ht="15" customHeight="1" x14ac:dyDescent="0.2">
      <c r="A1504" s="18"/>
      <c r="B1504" s="137"/>
    </row>
    <row r="1505" spans="1:2" ht="15" customHeight="1" x14ac:dyDescent="0.2">
      <c r="A1505" s="18"/>
      <c r="B1505" s="137"/>
    </row>
    <row r="1506" spans="1:2" ht="15" customHeight="1" x14ac:dyDescent="0.2">
      <c r="A1506" s="18"/>
      <c r="B1506" s="137"/>
    </row>
    <row r="1507" spans="1:2" ht="15" customHeight="1" x14ac:dyDescent="0.2">
      <c r="A1507" s="18"/>
      <c r="B1507" s="137"/>
    </row>
    <row r="1508" spans="1:2" ht="15" customHeight="1" x14ac:dyDescent="0.2">
      <c r="A1508" s="18"/>
      <c r="B1508" s="137"/>
    </row>
    <row r="1509" spans="1:2" ht="15" customHeight="1" x14ac:dyDescent="0.2">
      <c r="A1509" s="18"/>
      <c r="B1509" s="137"/>
    </row>
    <row r="1510" spans="1:2" ht="15" customHeight="1" x14ac:dyDescent="0.2">
      <c r="A1510" s="18"/>
      <c r="B1510" s="137"/>
    </row>
    <row r="1511" spans="1:2" ht="15" customHeight="1" x14ac:dyDescent="0.2">
      <c r="A1511" s="18"/>
      <c r="B1511" s="137"/>
    </row>
    <row r="1512" spans="1:2" ht="15" customHeight="1" x14ac:dyDescent="0.2">
      <c r="A1512" s="18"/>
      <c r="B1512" s="137"/>
    </row>
    <row r="1513" spans="1:2" ht="15" customHeight="1" x14ac:dyDescent="0.2">
      <c r="A1513" s="18"/>
      <c r="B1513" s="137"/>
    </row>
    <row r="1514" spans="1:2" ht="15" customHeight="1" x14ac:dyDescent="0.2">
      <c r="A1514" s="18"/>
      <c r="B1514" s="137"/>
    </row>
    <row r="1515" spans="1:2" ht="15" customHeight="1" x14ac:dyDescent="0.2">
      <c r="A1515" s="18"/>
      <c r="B1515" s="137"/>
    </row>
    <row r="1516" spans="1:2" ht="15" customHeight="1" x14ac:dyDescent="0.2">
      <c r="A1516" s="18"/>
      <c r="B1516" s="137"/>
    </row>
    <row r="1517" spans="1:2" ht="15" customHeight="1" x14ac:dyDescent="0.2">
      <c r="A1517" s="18"/>
      <c r="B1517" s="137"/>
    </row>
    <row r="1518" spans="1:2" ht="15" customHeight="1" x14ac:dyDescent="0.2">
      <c r="A1518" s="18"/>
      <c r="B1518" s="137"/>
    </row>
    <row r="1519" spans="1:2" ht="15" customHeight="1" x14ac:dyDescent="0.2">
      <c r="A1519" s="18"/>
      <c r="B1519" s="137"/>
    </row>
    <row r="1520" spans="1:2" ht="15" customHeight="1" x14ac:dyDescent="0.2">
      <c r="A1520" s="18"/>
      <c r="B1520" s="137"/>
    </row>
    <row r="1521" spans="1:2" ht="15" customHeight="1" x14ac:dyDescent="0.2">
      <c r="A1521" s="18"/>
      <c r="B1521" s="137"/>
    </row>
    <row r="1522" spans="1:2" ht="15" customHeight="1" x14ac:dyDescent="0.2">
      <c r="A1522" s="18"/>
      <c r="B1522" s="137"/>
    </row>
    <row r="1523" spans="1:2" ht="15" customHeight="1" x14ac:dyDescent="0.2">
      <c r="A1523" s="18"/>
      <c r="B1523" s="137"/>
    </row>
    <row r="1524" spans="1:2" ht="15" customHeight="1" x14ac:dyDescent="0.2">
      <c r="A1524" s="18"/>
      <c r="B1524" s="137"/>
    </row>
    <row r="1525" spans="1:2" ht="15" customHeight="1" x14ac:dyDescent="0.2">
      <c r="A1525" s="18"/>
      <c r="B1525" s="137"/>
    </row>
    <row r="1526" spans="1:2" ht="15" customHeight="1" x14ac:dyDescent="0.2">
      <c r="A1526" s="18"/>
      <c r="B1526" s="137"/>
    </row>
    <row r="1527" spans="1:2" ht="15" customHeight="1" x14ac:dyDescent="0.2">
      <c r="A1527" s="18"/>
      <c r="B1527" s="137"/>
    </row>
    <row r="1528" spans="1:2" ht="15" customHeight="1" x14ac:dyDescent="0.2">
      <c r="A1528" s="18"/>
      <c r="B1528" s="137"/>
    </row>
    <row r="1529" spans="1:2" ht="15" customHeight="1" x14ac:dyDescent="0.2">
      <c r="A1529" s="18"/>
      <c r="B1529" s="137"/>
    </row>
    <row r="1530" spans="1:2" ht="15" customHeight="1" x14ac:dyDescent="0.2">
      <c r="A1530" s="18"/>
      <c r="B1530" s="137"/>
    </row>
    <row r="1531" spans="1:2" ht="15" customHeight="1" x14ac:dyDescent="0.2">
      <c r="A1531" s="18"/>
      <c r="B1531" s="137"/>
    </row>
    <row r="1532" spans="1:2" ht="15" customHeight="1" x14ac:dyDescent="0.2">
      <c r="A1532" s="18"/>
      <c r="B1532" s="137"/>
    </row>
    <row r="1533" spans="1:2" ht="15" customHeight="1" x14ac:dyDescent="0.2">
      <c r="A1533" s="18"/>
      <c r="B1533" s="137"/>
    </row>
    <row r="1534" spans="1:2" ht="15" customHeight="1" x14ac:dyDescent="0.2">
      <c r="A1534" s="18"/>
      <c r="B1534" s="137"/>
    </row>
    <row r="1535" spans="1:2" ht="15" customHeight="1" x14ac:dyDescent="0.2">
      <c r="A1535" s="18"/>
      <c r="B1535" s="137"/>
    </row>
    <row r="1536" spans="1:2" ht="15" customHeight="1" x14ac:dyDescent="0.2">
      <c r="A1536" s="18"/>
      <c r="B1536" s="137"/>
    </row>
    <row r="1537" spans="1:2" ht="15" customHeight="1" x14ac:dyDescent="0.2">
      <c r="A1537" s="18"/>
      <c r="B1537" s="137"/>
    </row>
    <row r="1538" spans="1:2" ht="15" customHeight="1" x14ac:dyDescent="0.2">
      <c r="A1538" s="18"/>
      <c r="B1538" s="137"/>
    </row>
    <row r="1539" spans="1:2" ht="15" customHeight="1" x14ac:dyDescent="0.2">
      <c r="A1539" s="18"/>
      <c r="B1539" s="137"/>
    </row>
    <row r="1540" spans="1:2" ht="15" customHeight="1" x14ac:dyDescent="0.2">
      <c r="A1540" s="18"/>
      <c r="B1540" s="137"/>
    </row>
    <row r="1541" spans="1:2" ht="15" customHeight="1" x14ac:dyDescent="0.2">
      <c r="A1541" s="18"/>
      <c r="B1541" s="137"/>
    </row>
    <row r="1542" spans="1:2" ht="15" customHeight="1" x14ac:dyDescent="0.2">
      <c r="A1542" s="18"/>
      <c r="B1542" s="137"/>
    </row>
    <row r="1543" spans="1:2" ht="15" customHeight="1" x14ac:dyDescent="0.2">
      <c r="A1543" s="18"/>
      <c r="B1543" s="137"/>
    </row>
    <row r="1544" spans="1:2" ht="15" customHeight="1" x14ac:dyDescent="0.2">
      <c r="A1544" s="18"/>
      <c r="B1544" s="137"/>
    </row>
    <row r="1545" spans="1:2" ht="15" customHeight="1" x14ac:dyDescent="0.2">
      <c r="A1545" s="18"/>
      <c r="B1545" s="137"/>
    </row>
    <row r="1546" spans="1:2" ht="15" customHeight="1" x14ac:dyDescent="0.2">
      <c r="A1546" s="18"/>
      <c r="B1546" s="137"/>
    </row>
    <row r="1547" spans="1:2" ht="15" customHeight="1" x14ac:dyDescent="0.2">
      <c r="A1547" s="18"/>
      <c r="B1547" s="137"/>
    </row>
    <row r="1548" spans="1:2" ht="15" customHeight="1" x14ac:dyDescent="0.2">
      <c r="A1548" s="18"/>
      <c r="B1548" s="137"/>
    </row>
    <row r="1549" spans="1:2" ht="15" customHeight="1" x14ac:dyDescent="0.2">
      <c r="A1549" s="18"/>
      <c r="B1549" s="137"/>
    </row>
    <row r="1550" spans="1:2" ht="15" customHeight="1" x14ac:dyDescent="0.2">
      <c r="A1550" s="18"/>
      <c r="B1550" s="137"/>
    </row>
    <row r="1551" spans="1:2" ht="15" customHeight="1" x14ac:dyDescent="0.2">
      <c r="A1551" s="18"/>
      <c r="B1551" s="137"/>
    </row>
    <row r="1552" spans="1:2" ht="15" customHeight="1" x14ac:dyDescent="0.2">
      <c r="A1552" s="18"/>
      <c r="B1552" s="137"/>
    </row>
    <row r="1553" spans="1:2" ht="15" customHeight="1" x14ac:dyDescent="0.2">
      <c r="A1553" s="18"/>
      <c r="B1553" s="137"/>
    </row>
    <row r="1554" spans="1:2" ht="15" customHeight="1" x14ac:dyDescent="0.2">
      <c r="A1554" s="18"/>
      <c r="B1554" s="137"/>
    </row>
    <row r="1555" spans="1:2" ht="15" customHeight="1" x14ac:dyDescent="0.2">
      <c r="A1555" s="18"/>
      <c r="B1555" s="137"/>
    </row>
    <row r="1556" spans="1:2" ht="15" customHeight="1" x14ac:dyDescent="0.2">
      <c r="A1556" s="18"/>
      <c r="B1556" s="137"/>
    </row>
    <row r="1557" spans="1:2" ht="15" customHeight="1" x14ac:dyDescent="0.2">
      <c r="A1557" s="18"/>
      <c r="B1557" s="137"/>
    </row>
    <row r="1558" spans="1:2" ht="15" customHeight="1" x14ac:dyDescent="0.2">
      <c r="A1558" s="18"/>
      <c r="B1558" s="137"/>
    </row>
    <row r="1559" spans="1:2" ht="15" customHeight="1" x14ac:dyDescent="0.2">
      <c r="A1559" s="18"/>
      <c r="B1559" s="137"/>
    </row>
    <row r="1560" spans="1:2" ht="15" customHeight="1" x14ac:dyDescent="0.2">
      <c r="A1560" s="18"/>
      <c r="B1560" s="137"/>
    </row>
    <row r="1561" spans="1:2" ht="15" customHeight="1" x14ac:dyDescent="0.2">
      <c r="A1561" s="18"/>
      <c r="B1561" s="137"/>
    </row>
    <row r="1562" spans="1:2" ht="15" customHeight="1" x14ac:dyDescent="0.2">
      <c r="A1562" s="18"/>
      <c r="B1562" s="137"/>
    </row>
    <row r="1563" spans="1:2" ht="15" customHeight="1" x14ac:dyDescent="0.2">
      <c r="A1563" s="18"/>
      <c r="B1563" s="137"/>
    </row>
    <row r="1564" spans="1:2" ht="15" customHeight="1" x14ac:dyDescent="0.2">
      <c r="A1564" s="18"/>
      <c r="B1564" s="137"/>
    </row>
    <row r="1565" spans="1:2" ht="15" customHeight="1" x14ac:dyDescent="0.2">
      <c r="A1565" s="18"/>
      <c r="B1565" s="137"/>
    </row>
    <row r="1566" spans="1:2" ht="15" customHeight="1" x14ac:dyDescent="0.2">
      <c r="A1566" s="18"/>
      <c r="B1566" s="137"/>
    </row>
    <row r="1567" spans="1:2" ht="15" customHeight="1" x14ac:dyDescent="0.2">
      <c r="A1567" s="18"/>
      <c r="B1567" s="137"/>
    </row>
    <row r="1568" spans="1:2" ht="15" customHeight="1" x14ac:dyDescent="0.2">
      <c r="A1568" s="18"/>
      <c r="B1568" s="137"/>
    </row>
    <row r="1569" spans="1:2" ht="15" customHeight="1" x14ac:dyDescent="0.2">
      <c r="A1569" s="18"/>
      <c r="B1569" s="137"/>
    </row>
    <row r="1570" spans="1:2" ht="15" customHeight="1" x14ac:dyDescent="0.2">
      <c r="A1570" s="18"/>
      <c r="B1570" s="137"/>
    </row>
    <row r="1571" spans="1:2" ht="15" customHeight="1" x14ac:dyDescent="0.2">
      <c r="A1571" s="18"/>
      <c r="B1571" s="137"/>
    </row>
    <row r="1572" spans="1:2" ht="15" customHeight="1" x14ac:dyDescent="0.2">
      <c r="A1572" s="18"/>
      <c r="B1572" s="137"/>
    </row>
    <row r="1573" spans="1:2" ht="15" customHeight="1" x14ac:dyDescent="0.2">
      <c r="A1573" s="18"/>
      <c r="B1573" s="137"/>
    </row>
    <row r="1574" spans="1:2" ht="15" customHeight="1" x14ac:dyDescent="0.2">
      <c r="A1574" s="18"/>
      <c r="B1574" s="137"/>
    </row>
    <row r="1575" spans="1:2" ht="15" customHeight="1" x14ac:dyDescent="0.2">
      <c r="A1575" s="18"/>
      <c r="B1575" s="137"/>
    </row>
    <row r="1576" spans="1:2" ht="15" customHeight="1" x14ac:dyDescent="0.2">
      <c r="A1576" s="18"/>
      <c r="B1576" s="137"/>
    </row>
    <row r="1577" spans="1:2" ht="15" customHeight="1" x14ac:dyDescent="0.2">
      <c r="A1577" s="18"/>
      <c r="B1577" s="137"/>
    </row>
    <row r="1578" spans="1:2" ht="15" customHeight="1" x14ac:dyDescent="0.2">
      <c r="A1578" s="18"/>
      <c r="B1578" s="137"/>
    </row>
    <row r="1579" spans="1:2" ht="15" customHeight="1" x14ac:dyDescent="0.2">
      <c r="A1579" s="18"/>
      <c r="B1579" s="137"/>
    </row>
    <row r="1580" spans="1:2" ht="15" customHeight="1" x14ac:dyDescent="0.2">
      <c r="A1580" s="18"/>
      <c r="B1580" s="137"/>
    </row>
    <row r="1581" spans="1:2" ht="15" customHeight="1" x14ac:dyDescent="0.2">
      <c r="A1581" s="18"/>
      <c r="B1581" s="137"/>
    </row>
    <row r="1582" spans="1:2" ht="15" customHeight="1" x14ac:dyDescent="0.2">
      <c r="A1582" s="18"/>
      <c r="B1582" s="137"/>
    </row>
    <row r="1583" spans="1:2" ht="15" customHeight="1" x14ac:dyDescent="0.2">
      <c r="A1583" s="18"/>
      <c r="B1583" s="137"/>
    </row>
    <row r="1584" spans="1:2" ht="15" customHeight="1" x14ac:dyDescent="0.2">
      <c r="A1584" s="18"/>
      <c r="B1584" s="137"/>
    </row>
    <row r="1585" spans="1:2" ht="15" customHeight="1" x14ac:dyDescent="0.2">
      <c r="A1585" s="18"/>
      <c r="B1585" s="137"/>
    </row>
    <row r="1586" spans="1:2" ht="15" customHeight="1" x14ac:dyDescent="0.2">
      <c r="A1586" s="18"/>
      <c r="B1586" s="137"/>
    </row>
    <row r="1587" spans="1:2" ht="15" customHeight="1" x14ac:dyDescent="0.2">
      <c r="A1587" s="18"/>
      <c r="B1587" s="137"/>
    </row>
    <row r="1588" spans="1:2" ht="15" customHeight="1" x14ac:dyDescent="0.2">
      <c r="A1588" s="18"/>
      <c r="B1588" s="137"/>
    </row>
    <row r="1589" spans="1:2" ht="15" customHeight="1" x14ac:dyDescent="0.2">
      <c r="A1589" s="18"/>
      <c r="B1589" s="137"/>
    </row>
    <row r="1590" spans="1:2" ht="15" customHeight="1" x14ac:dyDescent="0.2">
      <c r="A1590" s="18"/>
      <c r="B1590" s="137"/>
    </row>
    <row r="1591" spans="1:2" ht="15" customHeight="1" x14ac:dyDescent="0.2">
      <c r="A1591" s="18"/>
      <c r="B1591" s="137"/>
    </row>
    <row r="1592" spans="1:2" ht="15" customHeight="1" x14ac:dyDescent="0.2">
      <c r="A1592" s="18"/>
      <c r="B1592" s="137"/>
    </row>
    <row r="1593" spans="1:2" ht="15" customHeight="1" x14ac:dyDescent="0.2">
      <c r="A1593" s="18"/>
      <c r="B1593" s="137"/>
    </row>
    <row r="1594" spans="1:2" ht="15" customHeight="1" x14ac:dyDescent="0.2">
      <c r="A1594" s="18"/>
      <c r="B1594" s="137"/>
    </row>
    <row r="1595" spans="1:2" ht="15" customHeight="1" x14ac:dyDescent="0.2">
      <c r="A1595" s="18"/>
      <c r="B1595" s="137"/>
    </row>
    <row r="1596" spans="1:2" ht="15" customHeight="1" x14ac:dyDescent="0.2">
      <c r="A1596" s="18"/>
      <c r="B1596" s="137"/>
    </row>
    <row r="1597" spans="1:2" ht="15" customHeight="1" x14ac:dyDescent="0.2">
      <c r="A1597" s="18"/>
      <c r="B1597" s="137"/>
    </row>
    <row r="1598" spans="1:2" ht="15" customHeight="1" x14ac:dyDescent="0.2">
      <c r="A1598" s="18"/>
      <c r="B1598" s="137"/>
    </row>
    <row r="1599" spans="1:2" ht="15" customHeight="1" x14ac:dyDescent="0.2">
      <c r="A1599" s="18"/>
      <c r="B1599" s="137"/>
    </row>
    <row r="1600" spans="1:2" ht="15" customHeight="1" x14ac:dyDescent="0.2">
      <c r="A1600" s="18"/>
      <c r="B1600" s="137"/>
    </row>
    <row r="1601" spans="1:2" ht="15" customHeight="1" x14ac:dyDescent="0.2">
      <c r="A1601" s="18"/>
      <c r="B1601" s="137"/>
    </row>
    <row r="1602" spans="1:2" ht="15" customHeight="1" x14ac:dyDescent="0.2">
      <c r="A1602" s="18"/>
      <c r="B1602" s="137"/>
    </row>
    <row r="1603" spans="1:2" ht="15" customHeight="1" x14ac:dyDescent="0.2">
      <c r="A1603" s="18"/>
      <c r="B1603" s="137"/>
    </row>
    <row r="1604" spans="1:2" ht="15" customHeight="1" x14ac:dyDescent="0.2">
      <c r="A1604" s="18"/>
      <c r="B1604" s="137"/>
    </row>
    <row r="1605" spans="1:2" ht="15" customHeight="1" x14ac:dyDescent="0.2">
      <c r="A1605" s="18"/>
      <c r="B1605" s="137"/>
    </row>
    <row r="1606" spans="1:2" ht="15" customHeight="1" x14ac:dyDescent="0.2">
      <c r="A1606" s="18"/>
      <c r="B1606" s="137"/>
    </row>
    <row r="1607" spans="1:2" ht="15" customHeight="1" x14ac:dyDescent="0.2">
      <c r="A1607" s="18"/>
      <c r="B1607" s="137"/>
    </row>
    <row r="1608" spans="1:2" ht="15" customHeight="1" x14ac:dyDescent="0.2">
      <c r="A1608" s="18"/>
      <c r="B1608" s="137"/>
    </row>
    <row r="1609" spans="1:2" ht="15" customHeight="1" x14ac:dyDescent="0.2">
      <c r="A1609" s="18"/>
      <c r="B1609" s="137"/>
    </row>
    <row r="1610" spans="1:2" ht="15" customHeight="1" x14ac:dyDescent="0.2">
      <c r="A1610" s="18"/>
      <c r="B1610" s="137"/>
    </row>
    <row r="1611" spans="1:2" ht="15" customHeight="1" x14ac:dyDescent="0.2">
      <c r="A1611" s="18"/>
      <c r="B1611" s="137"/>
    </row>
    <row r="1612" spans="1:2" ht="15" customHeight="1" x14ac:dyDescent="0.2">
      <c r="A1612" s="18"/>
      <c r="B1612" s="137"/>
    </row>
    <row r="1613" spans="1:2" ht="15" customHeight="1" x14ac:dyDescent="0.2">
      <c r="A1613" s="18"/>
      <c r="B1613" s="137"/>
    </row>
    <row r="1614" spans="1:2" ht="15" customHeight="1" x14ac:dyDescent="0.2">
      <c r="A1614" s="18"/>
      <c r="B1614" s="137"/>
    </row>
    <row r="1615" spans="1:2" ht="15" customHeight="1" x14ac:dyDescent="0.2">
      <c r="A1615" s="18"/>
      <c r="B1615" s="137"/>
    </row>
    <row r="1616" spans="1:2" ht="15" customHeight="1" x14ac:dyDescent="0.2">
      <c r="A1616" s="18"/>
      <c r="B1616" s="137"/>
    </row>
    <row r="1617" spans="1:2" ht="15" customHeight="1" x14ac:dyDescent="0.2">
      <c r="A1617" s="18"/>
      <c r="B1617" s="137"/>
    </row>
    <row r="1618" spans="1:2" ht="15" customHeight="1" x14ac:dyDescent="0.2">
      <c r="A1618" s="18"/>
      <c r="B1618" s="137"/>
    </row>
    <row r="1619" spans="1:2" ht="15" customHeight="1" x14ac:dyDescent="0.2">
      <c r="A1619" s="18"/>
      <c r="B1619" s="137"/>
    </row>
    <row r="1620" spans="1:2" ht="15" customHeight="1" x14ac:dyDescent="0.2">
      <c r="A1620" s="18"/>
      <c r="B1620" s="137"/>
    </row>
    <row r="1621" spans="1:2" ht="15" customHeight="1" x14ac:dyDescent="0.2">
      <c r="A1621" s="18"/>
      <c r="B1621" s="137"/>
    </row>
    <row r="1622" spans="1:2" ht="15" customHeight="1" x14ac:dyDescent="0.2">
      <c r="A1622" s="18"/>
      <c r="B1622" s="137"/>
    </row>
    <row r="1623" spans="1:2" ht="15" customHeight="1" x14ac:dyDescent="0.2">
      <c r="A1623" s="18"/>
      <c r="B1623" s="137"/>
    </row>
    <row r="1624" spans="1:2" ht="15" customHeight="1" x14ac:dyDescent="0.2">
      <c r="A1624" s="18"/>
      <c r="B1624" s="137"/>
    </row>
    <row r="1625" spans="1:2" ht="15" customHeight="1" x14ac:dyDescent="0.2">
      <c r="A1625" s="18"/>
      <c r="B1625" s="137"/>
    </row>
    <row r="1626" spans="1:2" ht="15" customHeight="1" x14ac:dyDescent="0.2">
      <c r="A1626" s="18"/>
      <c r="B1626" s="137"/>
    </row>
    <row r="1627" spans="1:2" ht="15" customHeight="1" x14ac:dyDescent="0.2">
      <c r="A1627" s="18"/>
      <c r="B1627" s="137"/>
    </row>
    <row r="1628" spans="1:2" ht="15" customHeight="1" x14ac:dyDescent="0.2">
      <c r="A1628" s="18"/>
      <c r="B1628" s="137"/>
    </row>
    <row r="1629" spans="1:2" ht="15" customHeight="1" x14ac:dyDescent="0.2">
      <c r="A1629" s="18"/>
      <c r="B1629" s="137"/>
    </row>
    <row r="1630" spans="1:2" ht="15" customHeight="1" x14ac:dyDescent="0.2">
      <c r="A1630" s="18"/>
      <c r="B1630" s="137"/>
    </row>
    <row r="1631" spans="1:2" ht="15" customHeight="1" x14ac:dyDescent="0.2">
      <c r="A1631" s="18"/>
      <c r="B1631" s="137"/>
    </row>
    <row r="1632" spans="1:2" ht="15" customHeight="1" x14ac:dyDescent="0.2">
      <c r="A1632" s="18"/>
      <c r="B1632" s="137"/>
    </row>
    <row r="1633" spans="1:2" ht="15" customHeight="1" x14ac:dyDescent="0.2">
      <c r="A1633" s="18"/>
      <c r="B1633" s="137"/>
    </row>
    <row r="1634" spans="1:2" ht="15" customHeight="1" x14ac:dyDescent="0.2">
      <c r="A1634" s="18"/>
      <c r="B1634" s="137"/>
    </row>
    <row r="1635" spans="1:2" ht="15" customHeight="1" x14ac:dyDescent="0.2">
      <c r="A1635" s="18"/>
      <c r="B1635" s="137"/>
    </row>
    <row r="1636" spans="1:2" ht="15" customHeight="1" x14ac:dyDescent="0.2">
      <c r="A1636" s="18"/>
      <c r="B1636" s="137"/>
    </row>
    <row r="1637" spans="1:2" ht="15" customHeight="1" x14ac:dyDescent="0.2">
      <c r="A1637" s="18"/>
      <c r="B1637" s="137"/>
    </row>
    <row r="1638" spans="1:2" ht="15" customHeight="1" x14ac:dyDescent="0.2">
      <c r="A1638" s="18"/>
      <c r="B1638" s="137"/>
    </row>
    <row r="1639" spans="1:2" ht="15" customHeight="1" x14ac:dyDescent="0.2">
      <c r="A1639" s="18"/>
      <c r="B1639" s="137"/>
    </row>
    <row r="1640" spans="1:2" ht="15" customHeight="1" x14ac:dyDescent="0.2">
      <c r="A1640" s="18"/>
      <c r="B1640" s="137"/>
    </row>
    <row r="1641" spans="1:2" ht="15" customHeight="1" x14ac:dyDescent="0.2">
      <c r="A1641" s="18"/>
      <c r="B1641" s="137"/>
    </row>
    <row r="1642" spans="1:2" ht="15" customHeight="1" x14ac:dyDescent="0.2">
      <c r="A1642" s="18"/>
      <c r="B1642" s="137"/>
    </row>
    <row r="1643" spans="1:2" ht="15" customHeight="1" x14ac:dyDescent="0.2">
      <c r="A1643" s="18"/>
      <c r="B1643" s="137"/>
    </row>
    <row r="1644" spans="1:2" ht="15" customHeight="1" x14ac:dyDescent="0.2">
      <c r="A1644" s="18"/>
      <c r="B1644" s="137"/>
    </row>
    <row r="1645" spans="1:2" ht="15" customHeight="1" x14ac:dyDescent="0.2">
      <c r="A1645" s="18"/>
      <c r="B1645" s="137"/>
    </row>
    <row r="1646" spans="1:2" ht="15" customHeight="1" x14ac:dyDescent="0.2">
      <c r="A1646" s="18"/>
      <c r="B1646" s="137"/>
    </row>
    <row r="1647" spans="1:2" ht="15" customHeight="1" x14ac:dyDescent="0.2">
      <c r="A1647" s="18"/>
      <c r="B1647" s="137"/>
    </row>
    <row r="1648" spans="1:2" ht="15" customHeight="1" x14ac:dyDescent="0.2">
      <c r="A1648" s="18"/>
      <c r="B1648" s="137"/>
    </row>
    <row r="1649" spans="1:2" ht="15" customHeight="1" x14ac:dyDescent="0.2">
      <c r="A1649" s="18"/>
      <c r="B1649" s="137"/>
    </row>
    <row r="1650" spans="1:2" ht="15" customHeight="1" x14ac:dyDescent="0.2">
      <c r="A1650" s="18"/>
      <c r="B1650" s="137"/>
    </row>
    <row r="1651" spans="1:2" ht="15" customHeight="1" x14ac:dyDescent="0.2">
      <c r="A1651" s="18"/>
      <c r="B1651" s="137"/>
    </row>
    <row r="1652" spans="1:2" ht="15" customHeight="1" x14ac:dyDescent="0.2">
      <c r="A1652" s="18"/>
      <c r="B1652" s="137"/>
    </row>
    <row r="1653" spans="1:2" ht="15" customHeight="1" x14ac:dyDescent="0.2">
      <c r="A1653" s="18"/>
      <c r="B1653" s="137"/>
    </row>
    <row r="1654" spans="1:2" ht="15" customHeight="1" x14ac:dyDescent="0.2">
      <c r="A1654" s="18"/>
      <c r="B1654" s="137"/>
    </row>
    <row r="1655" spans="1:2" ht="15" customHeight="1" x14ac:dyDescent="0.2">
      <c r="A1655" s="18"/>
      <c r="B1655" s="137"/>
    </row>
    <row r="1656" spans="1:2" ht="15" customHeight="1" x14ac:dyDescent="0.2">
      <c r="A1656" s="18"/>
      <c r="B1656" s="137"/>
    </row>
    <row r="1657" spans="1:2" ht="15" customHeight="1" x14ac:dyDescent="0.2">
      <c r="A1657" s="18"/>
      <c r="B1657" s="137"/>
    </row>
    <row r="1658" spans="1:2" ht="15" customHeight="1" x14ac:dyDescent="0.2">
      <c r="A1658" s="18"/>
      <c r="B1658" s="137"/>
    </row>
    <row r="1659" spans="1:2" ht="15" customHeight="1" x14ac:dyDescent="0.2">
      <c r="A1659" s="18"/>
      <c r="B1659" s="137"/>
    </row>
    <row r="1660" spans="1:2" ht="15" customHeight="1" x14ac:dyDescent="0.2">
      <c r="A1660" s="18"/>
      <c r="B1660" s="137"/>
    </row>
    <row r="1661" spans="1:2" ht="15" customHeight="1" x14ac:dyDescent="0.2">
      <c r="A1661" s="18"/>
      <c r="B1661" s="137"/>
    </row>
    <row r="1662" spans="1:2" ht="15" customHeight="1" x14ac:dyDescent="0.2">
      <c r="A1662" s="18"/>
      <c r="B1662" s="137"/>
    </row>
    <row r="1663" spans="1:2" ht="15" customHeight="1" x14ac:dyDescent="0.2">
      <c r="A1663" s="18"/>
      <c r="B1663" s="137"/>
    </row>
    <row r="1664" spans="1:2" ht="15" customHeight="1" x14ac:dyDescent="0.2">
      <c r="A1664" s="18"/>
      <c r="B1664" s="137"/>
    </row>
    <row r="1665" spans="1:2" ht="15" customHeight="1" x14ac:dyDescent="0.2">
      <c r="A1665" s="18"/>
      <c r="B1665" s="137"/>
    </row>
    <row r="1666" spans="1:2" ht="15" customHeight="1" x14ac:dyDescent="0.2">
      <c r="A1666" s="18"/>
      <c r="B1666" s="137"/>
    </row>
    <row r="1667" spans="1:2" ht="15" customHeight="1" x14ac:dyDescent="0.2">
      <c r="A1667" s="18"/>
      <c r="B1667" s="137"/>
    </row>
    <row r="1668" spans="1:2" ht="15" customHeight="1" x14ac:dyDescent="0.2">
      <c r="A1668" s="18"/>
      <c r="B1668" s="137"/>
    </row>
    <row r="1669" spans="1:2" ht="15" customHeight="1" x14ac:dyDescent="0.2">
      <c r="A1669" s="18"/>
      <c r="B1669" s="137"/>
    </row>
    <row r="1670" spans="1:2" ht="15" customHeight="1" x14ac:dyDescent="0.2">
      <c r="A1670" s="18"/>
      <c r="B1670" s="137"/>
    </row>
    <row r="1671" spans="1:2" ht="15" customHeight="1" x14ac:dyDescent="0.2">
      <c r="A1671" s="18"/>
      <c r="B1671" s="137"/>
    </row>
    <row r="1672" spans="1:2" ht="15" customHeight="1" x14ac:dyDescent="0.2">
      <c r="A1672" s="18"/>
      <c r="B1672" s="137"/>
    </row>
    <row r="1673" spans="1:2" ht="15" customHeight="1" x14ac:dyDescent="0.2">
      <c r="A1673" s="18"/>
      <c r="B1673" s="137"/>
    </row>
    <row r="1674" spans="1:2" ht="15" customHeight="1" x14ac:dyDescent="0.2">
      <c r="A1674" s="18"/>
      <c r="B1674" s="137"/>
    </row>
    <row r="1675" spans="1:2" ht="15" customHeight="1" x14ac:dyDescent="0.2">
      <c r="A1675" s="18"/>
      <c r="B1675" s="137"/>
    </row>
    <row r="1676" spans="1:2" ht="15" customHeight="1" x14ac:dyDescent="0.2">
      <c r="A1676" s="18"/>
      <c r="B1676" s="137"/>
    </row>
    <row r="1677" spans="1:2" ht="15" customHeight="1" x14ac:dyDescent="0.2">
      <c r="A1677" s="18"/>
      <c r="B1677" s="137"/>
    </row>
    <row r="1678" spans="1:2" ht="15" customHeight="1" x14ac:dyDescent="0.2">
      <c r="A1678" s="18"/>
      <c r="B1678" s="137"/>
    </row>
    <row r="1679" spans="1:2" ht="15" customHeight="1" x14ac:dyDescent="0.2">
      <c r="A1679" s="18"/>
      <c r="B1679" s="137"/>
    </row>
    <row r="1680" spans="1:2" ht="15" customHeight="1" x14ac:dyDescent="0.2">
      <c r="A1680" s="18"/>
      <c r="B1680" s="137"/>
    </row>
    <row r="1681" spans="1:2" ht="15" customHeight="1" x14ac:dyDescent="0.2">
      <c r="A1681" s="18"/>
      <c r="B1681" s="137"/>
    </row>
    <row r="1682" spans="1:2" ht="15" customHeight="1" x14ac:dyDescent="0.2">
      <c r="A1682" s="18"/>
      <c r="B1682" s="137"/>
    </row>
    <row r="1683" spans="1:2" ht="15" customHeight="1" x14ac:dyDescent="0.2">
      <c r="A1683" s="18"/>
      <c r="B1683" s="137"/>
    </row>
    <row r="1684" spans="1:2" ht="15" customHeight="1" x14ac:dyDescent="0.2">
      <c r="A1684" s="18"/>
      <c r="B1684" s="137"/>
    </row>
    <row r="1685" spans="1:2" ht="15" customHeight="1" x14ac:dyDescent="0.2">
      <c r="A1685" s="18"/>
      <c r="B1685" s="137"/>
    </row>
    <row r="1686" spans="1:2" ht="15" customHeight="1" x14ac:dyDescent="0.2">
      <c r="A1686" s="18"/>
      <c r="B1686" s="137"/>
    </row>
    <row r="1687" spans="1:2" ht="15" customHeight="1" x14ac:dyDescent="0.2">
      <c r="A1687" s="18"/>
      <c r="B1687" s="137"/>
    </row>
    <row r="1688" spans="1:2" ht="15" customHeight="1" x14ac:dyDescent="0.2">
      <c r="A1688" s="18"/>
      <c r="B1688" s="137"/>
    </row>
    <row r="1689" spans="1:2" ht="15" customHeight="1" x14ac:dyDescent="0.2">
      <c r="A1689" s="18"/>
      <c r="B1689" s="137"/>
    </row>
    <row r="1690" spans="1:2" ht="15" customHeight="1" x14ac:dyDescent="0.2">
      <c r="A1690" s="18"/>
      <c r="B1690" s="137"/>
    </row>
    <row r="1691" spans="1:2" ht="15" customHeight="1" x14ac:dyDescent="0.2">
      <c r="A1691" s="18"/>
      <c r="B1691" s="137"/>
    </row>
    <row r="1692" spans="1:2" ht="15" customHeight="1" x14ac:dyDescent="0.2">
      <c r="A1692" s="18"/>
      <c r="B1692" s="137"/>
    </row>
    <row r="1693" spans="1:2" ht="15" customHeight="1" x14ac:dyDescent="0.2">
      <c r="A1693" s="18"/>
      <c r="B1693" s="137"/>
    </row>
    <row r="1694" spans="1:2" ht="15" customHeight="1" x14ac:dyDescent="0.2">
      <c r="A1694" s="18"/>
      <c r="B1694" s="137"/>
    </row>
    <row r="1695" spans="1:2" ht="15" customHeight="1" x14ac:dyDescent="0.2">
      <c r="A1695" s="18"/>
      <c r="B1695" s="137"/>
    </row>
    <row r="1696" spans="1:2" ht="15" customHeight="1" x14ac:dyDescent="0.2">
      <c r="A1696" s="18"/>
      <c r="B1696" s="137"/>
    </row>
    <row r="1697" spans="1:2" ht="15" customHeight="1" x14ac:dyDescent="0.2">
      <c r="A1697" s="18"/>
      <c r="B1697" s="137"/>
    </row>
    <row r="1698" spans="1:2" ht="15" customHeight="1" x14ac:dyDescent="0.2">
      <c r="A1698" s="18"/>
      <c r="B1698" s="137"/>
    </row>
    <row r="1699" spans="1:2" ht="15" customHeight="1" x14ac:dyDescent="0.2">
      <c r="A1699" s="18"/>
      <c r="B1699" s="137"/>
    </row>
    <row r="1700" spans="1:2" ht="15" customHeight="1" x14ac:dyDescent="0.2">
      <c r="A1700" s="18"/>
      <c r="B1700" s="137"/>
    </row>
    <row r="1701" spans="1:2" ht="15" customHeight="1" x14ac:dyDescent="0.2">
      <c r="A1701" s="18"/>
      <c r="B1701" s="137"/>
    </row>
    <row r="1702" spans="1:2" ht="15" customHeight="1" x14ac:dyDescent="0.2">
      <c r="A1702" s="18"/>
      <c r="B1702" s="137"/>
    </row>
    <row r="1703" spans="1:2" ht="15" customHeight="1" x14ac:dyDescent="0.2">
      <c r="A1703" s="18"/>
      <c r="B1703" s="137"/>
    </row>
    <row r="1704" spans="1:2" ht="15" customHeight="1" x14ac:dyDescent="0.2">
      <c r="A1704" s="18"/>
      <c r="B1704" s="137"/>
    </row>
    <row r="1705" spans="1:2" ht="15" customHeight="1" x14ac:dyDescent="0.2">
      <c r="A1705" s="18"/>
      <c r="B1705" s="137"/>
    </row>
    <row r="1706" spans="1:2" ht="15" customHeight="1" x14ac:dyDescent="0.2">
      <c r="A1706" s="18"/>
      <c r="B1706" s="137"/>
    </row>
    <row r="1707" spans="1:2" ht="15" customHeight="1" x14ac:dyDescent="0.2">
      <c r="A1707" s="18"/>
      <c r="B1707" s="137"/>
    </row>
    <row r="1708" spans="1:2" ht="15" customHeight="1" x14ac:dyDescent="0.2">
      <c r="A1708" s="18"/>
      <c r="B1708" s="137"/>
    </row>
    <row r="1709" spans="1:2" ht="15" customHeight="1" x14ac:dyDescent="0.2">
      <c r="A1709" s="18"/>
      <c r="B1709" s="137"/>
    </row>
    <row r="1710" spans="1:2" ht="15" customHeight="1" x14ac:dyDescent="0.2">
      <c r="A1710" s="18"/>
      <c r="B1710" s="137"/>
    </row>
    <row r="1711" spans="1:2" ht="15" customHeight="1" x14ac:dyDescent="0.2">
      <c r="A1711" s="18"/>
      <c r="B1711" s="137"/>
    </row>
    <row r="1712" spans="1:2" ht="15" customHeight="1" x14ac:dyDescent="0.2">
      <c r="A1712" s="18"/>
      <c r="B1712" s="137"/>
    </row>
    <row r="1713" spans="1:2" ht="15" customHeight="1" x14ac:dyDescent="0.2">
      <c r="A1713" s="18"/>
      <c r="B1713" s="137"/>
    </row>
    <row r="1714" spans="1:2" ht="15" customHeight="1" x14ac:dyDescent="0.2">
      <c r="A1714" s="18"/>
      <c r="B1714" s="137"/>
    </row>
    <row r="1715" spans="1:2" ht="15" customHeight="1" x14ac:dyDescent="0.2">
      <c r="A1715" s="18"/>
      <c r="B1715" s="137"/>
    </row>
    <row r="1716" spans="1:2" ht="15" customHeight="1" x14ac:dyDescent="0.2">
      <c r="A1716" s="18"/>
      <c r="B1716" s="137"/>
    </row>
    <row r="1717" spans="1:2" ht="15" customHeight="1" x14ac:dyDescent="0.2">
      <c r="A1717" s="18"/>
      <c r="B1717" s="137"/>
    </row>
    <row r="1718" spans="1:2" ht="15" customHeight="1" x14ac:dyDescent="0.2">
      <c r="A1718" s="18"/>
      <c r="B1718" s="137"/>
    </row>
    <row r="1719" spans="1:2" ht="15" customHeight="1" x14ac:dyDescent="0.2">
      <c r="A1719" s="18"/>
      <c r="B1719" s="137"/>
    </row>
    <row r="1720" spans="1:2" ht="15" customHeight="1" x14ac:dyDescent="0.2">
      <c r="A1720" s="18"/>
      <c r="B1720" s="137"/>
    </row>
    <row r="1721" spans="1:2" ht="15" customHeight="1" x14ac:dyDescent="0.2">
      <c r="A1721" s="18"/>
      <c r="B1721" s="137"/>
    </row>
    <row r="1722" spans="1:2" ht="15" customHeight="1" x14ac:dyDescent="0.2">
      <c r="A1722" s="18"/>
      <c r="B1722" s="137"/>
    </row>
    <row r="1723" spans="1:2" ht="15" customHeight="1" x14ac:dyDescent="0.2">
      <c r="A1723" s="18"/>
      <c r="B1723" s="137"/>
    </row>
    <row r="1724" spans="1:2" ht="15" customHeight="1" x14ac:dyDescent="0.2">
      <c r="A1724" s="18"/>
      <c r="B1724" s="137"/>
    </row>
    <row r="1725" spans="1:2" ht="15" customHeight="1" x14ac:dyDescent="0.2">
      <c r="A1725" s="18"/>
      <c r="B1725" s="137"/>
    </row>
    <row r="1726" spans="1:2" ht="15" customHeight="1" x14ac:dyDescent="0.2">
      <c r="A1726" s="18"/>
      <c r="B1726" s="137"/>
    </row>
    <row r="1727" spans="1:2" ht="15" customHeight="1" x14ac:dyDescent="0.2">
      <c r="A1727" s="18"/>
      <c r="B1727" s="137"/>
    </row>
    <row r="1728" spans="1:2" ht="15" customHeight="1" x14ac:dyDescent="0.2">
      <c r="A1728" s="18"/>
      <c r="B1728" s="137"/>
    </row>
    <row r="1729" spans="1:2" ht="15" customHeight="1" x14ac:dyDescent="0.2">
      <c r="A1729" s="18"/>
      <c r="B1729" s="137"/>
    </row>
    <row r="1730" spans="1:2" ht="15" customHeight="1" x14ac:dyDescent="0.2">
      <c r="A1730" s="18"/>
      <c r="B1730" s="137"/>
    </row>
    <row r="1731" spans="1:2" ht="15" customHeight="1" x14ac:dyDescent="0.2">
      <c r="A1731" s="18"/>
      <c r="B1731" s="137"/>
    </row>
    <row r="1732" spans="1:2" ht="15" customHeight="1" x14ac:dyDescent="0.2">
      <c r="A1732" s="18"/>
      <c r="B1732" s="137"/>
    </row>
    <row r="1733" spans="1:2" ht="15" customHeight="1" x14ac:dyDescent="0.2">
      <c r="A1733" s="18"/>
      <c r="B1733" s="137"/>
    </row>
    <row r="1734" spans="1:2" ht="15" customHeight="1" x14ac:dyDescent="0.2">
      <c r="A1734" s="18"/>
      <c r="B1734" s="137"/>
    </row>
    <row r="1735" spans="1:2" ht="15" customHeight="1" x14ac:dyDescent="0.2">
      <c r="A1735" s="18"/>
      <c r="B1735" s="137"/>
    </row>
    <row r="1736" spans="1:2" ht="15" customHeight="1" x14ac:dyDescent="0.2">
      <c r="A1736" s="18"/>
      <c r="B1736" s="137"/>
    </row>
    <row r="1737" spans="1:2" ht="15" customHeight="1" x14ac:dyDescent="0.2">
      <c r="A1737" s="18"/>
      <c r="B1737" s="137"/>
    </row>
    <row r="1738" spans="1:2" ht="15" customHeight="1" x14ac:dyDescent="0.2">
      <c r="A1738" s="18"/>
      <c r="B1738" s="137"/>
    </row>
    <row r="1739" spans="1:2" ht="15" customHeight="1" x14ac:dyDescent="0.2">
      <c r="A1739" s="18"/>
      <c r="B1739" s="137"/>
    </row>
    <row r="1740" spans="1:2" ht="15" customHeight="1" x14ac:dyDescent="0.2">
      <c r="A1740" s="18"/>
      <c r="B1740" s="137"/>
    </row>
    <row r="1741" spans="1:2" ht="15" customHeight="1" x14ac:dyDescent="0.2">
      <c r="A1741" s="18"/>
      <c r="B1741" s="137"/>
    </row>
    <row r="1742" spans="1:2" ht="15" customHeight="1" x14ac:dyDescent="0.2">
      <c r="A1742" s="18"/>
      <c r="B1742" s="137"/>
    </row>
    <row r="1743" spans="1:2" ht="15" customHeight="1" x14ac:dyDescent="0.2">
      <c r="A1743" s="18"/>
      <c r="B1743" s="137"/>
    </row>
    <row r="1744" spans="1:2" ht="15" customHeight="1" x14ac:dyDescent="0.2">
      <c r="A1744" s="18"/>
      <c r="B1744" s="137"/>
    </row>
    <row r="1745" spans="1:2" ht="15" customHeight="1" x14ac:dyDescent="0.2">
      <c r="A1745" s="18"/>
      <c r="B1745" s="137"/>
    </row>
    <row r="1746" spans="1:2" ht="15" customHeight="1" x14ac:dyDescent="0.2">
      <c r="A1746" s="18"/>
      <c r="B1746" s="137"/>
    </row>
    <row r="1747" spans="1:2" ht="15" customHeight="1" x14ac:dyDescent="0.2">
      <c r="A1747" s="18"/>
      <c r="B1747" s="137"/>
    </row>
    <row r="1748" spans="1:2" ht="15" customHeight="1" x14ac:dyDescent="0.2">
      <c r="A1748" s="18"/>
      <c r="B1748" s="137"/>
    </row>
    <row r="1749" spans="1:2" ht="15" customHeight="1" x14ac:dyDescent="0.2">
      <c r="A1749" s="18"/>
      <c r="B1749" s="137"/>
    </row>
    <row r="1750" spans="1:2" ht="15" customHeight="1" x14ac:dyDescent="0.2">
      <c r="A1750" s="18"/>
      <c r="B1750" s="137"/>
    </row>
    <row r="1751" spans="1:2" ht="15" customHeight="1" x14ac:dyDescent="0.2">
      <c r="A1751" s="18"/>
      <c r="B1751" s="137"/>
    </row>
    <row r="1752" spans="1:2" ht="15" customHeight="1" x14ac:dyDescent="0.2">
      <c r="A1752" s="18"/>
      <c r="B1752" s="137"/>
    </row>
    <row r="1753" spans="1:2" ht="15" customHeight="1" x14ac:dyDescent="0.2">
      <c r="A1753" s="18"/>
      <c r="B1753" s="137"/>
    </row>
    <row r="1754" spans="1:2" ht="15" customHeight="1" x14ac:dyDescent="0.2">
      <c r="A1754" s="18"/>
      <c r="B1754" s="137"/>
    </row>
    <row r="1755" spans="1:2" ht="15" customHeight="1" x14ac:dyDescent="0.2">
      <c r="A1755" s="18"/>
      <c r="B1755" s="137"/>
    </row>
    <row r="1756" spans="1:2" ht="15" customHeight="1" x14ac:dyDescent="0.2">
      <c r="A1756" s="18"/>
      <c r="B1756" s="137"/>
    </row>
    <row r="1757" spans="1:2" ht="15" customHeight="1" x14ac:dyDescent="0.2">
      <c r="A1757" s="18"/>
      <c r="B1757" s="137"/>
    </row>
    <row r="1758" spans="1:2" ht="15" customHeight="1" x14ac:dyDescent="0.2">
      <c r="A1758" s="18"/>
      <c r="B1758" s="137"/>
    </row>
    <row r="1759" spans="1:2" ht="15" customHeight="1" x14ac:dyDescent="0.2">
      <c r="A1759" s="18"/>
      <c r="B1759" s="137"/>
    </row>
    <row r="1760" spans="1:2" ht="15" customHeight="1" x14ac:dyDescent="0.2">
      <c r="A1760" s="18"/>
      <c r="B1760" s="137"/>
    </row>
    <row r="1761" spans="1:2" ht="15" customHeight="1" x14ac:dyDescent="0.2">
      <c r="A1761" s="18"/>
      <c r="B1761" s="137"/>
    </row>
    <row r="1762" spans="1:2" ht="15" customHeight="1" x14ac:dyDescent="0.2">
      <c r="A1762" s="18"/>
      <c r="B1762" s="137"/>
    </row>
    <row r="1763" spans="1:2" ht="15" customHeight="1" x14ac:dyDescent="0.2">
      <c r="A1763" s="18"/>
      <c r="B1763" s="137"/>
    </row>
    <row r="1764" spans="1:2" ht="15" customHeight="1" x14ac:dyDescent="0.2">
      <c r="A1764" s="18"/>
      <c r="B1764" s="137"/>
    </row>
    <row r="1765" spans="1:2" ht="15" customHeight="1" x14ac:dyDescent="0.2">
      <c r="A1765" s="18"/>
      <c r="B1765" s="137"/>
    </row>
    <row r="1766" spans="1:2" ht="15" customHeight="1" x14ac:dyDescent="0.2">
      <c r="A1766" s="18"/>
      <c r="B1766" s="137"/>
    </row>
    <row r="1767" spans="1:2" ht="15" customHeight="1" x14ac:dyDescent="0.2">
      <c r="A1767" s="18"/>
      <c r="B1767" s="137"/>
    </row>
    <row r="1768" spans="1:2" ht="15" customHeight="1" x14ac:dyDescent="0.2">
      <c r="A1768" s="18"/>
      <c r="B1768" s="137"/>
    </row>
    <row r="1769" spans="1:2" ht="15" customHeight="1" x14ac:dyDescent="0.2">
      <c r="A1769" s="18"/>
      <c r="B1769" s="137"/>
    </row>
    <row r="1770" spans="1:2" ht="15" customHeight="1" x14ac:dyDescent="0.2">
      <c r="A1770" s="18"/>
      <c r="B1770" s="137"/>
    </row>
    <row r="1771" spans="1:2" ht="15" customHeight="1" x14ac:dyDescent="0.2">
      <c r="A1771" s="18"/>
      <c r="B1771" s="137"/>
    </row>
    <row r="1772" spans="1:2" ht="15" customHeight="1" x14ac:dyDescent="0.2">
      <c r="A1772" s="18"/>
      <c r="B1772" s="137"/>
    </row>
    <row r="1773" spans="1:2" ht="15" customHeight="1" x14ac:dyDescent="0.2">
      <c r="A1773" s="18"/>
      <c r="B1773" s="137"/>
    </row>
    <row r="1774" spans="1:2" ht="15" customHeight="1" x14ac:dyDescent="0.2">
      <c r="A1774" s="18"/>
      <c r="B1774" s="137"/>
    </row>
    <row r="1775" spans="1:2" ht="15" customHeight="1" x14ac:dyDescent="0.2">
      <c r="A1775" s="18"/>
      <c r="B1775" s="137"/>
    </row>
    <row r="1776" spans="1:2" ht="15" customHeight="1" x14ac:dyDescent="0.2">
      <c r="A1776" s="18"/>
      <c r="B1776" s="137"/>
    </row>
    <row r="1777" spans="1:2" ht="15" customHeight="1" x14ac:dyDescent="0.2">
      <c r="A1777" s="18"/>
      <c r="B1777" s="137"/>
    </row>
    <row r="1778" spans="1:2" ht="15" customHeight="1" x14ac:dyDescent="0.2">
      <c r="A1778" s="18"/>
      <c r="B1778" s="137"/>
    </row>
    <row r="1779" spans="1:2" ht="15" customHeight="1" x14ac:dyDescent="0.2">
      <c r="A1779" s="18"/>
      <c r="B1779" s="137"/>
    </row>
    <row r="1780" spans="1:2" ht="15" customHeight="1" x14ac:dyDescent="0.2">
      <c r="A1780" s="18"/>
      <c r="B1780" s="137"/>
    </row>
    <row r="1781" spans="1:2" ht="15" customHeight="1" x14ac:dyDescent="0.2">
      <c r="A1781" s="18"/>
      <c r="B1781" s="137"/>
    </row>
    <row r="1782" spans="1:2" ht="15" customHeight="1" x14ac:dyDescent="0.2">
      <c r="A1782" s="18"/>
      <c r="B1782" s="137"/>
    </row>
    <row r="1783" spans="1:2" ht="15" customHeight="1" x14ac:dyDescent="0.2">
      <c r="A1783" s="18"/>
      <c r="B1783" s="137"/>
    </row>
    <row r="1784" spans="1:2" ht="15" customHeight="1" x14ac:dyDescent="0.2">
      <c r="A1784" s="18"/>
      <c r="B1784" s="137"/>
    </row>
    <row r="1785" spans="1:2" ht="15" customHeight="1" x14ac:dyDescent="0.2">
      <c r="A1785" s="18"/>
      <c r="B1785" s="137"/>
    </row>
    <row r="1786" spans="1:2" ht="15" customHeight="1" x14ac:dyDescent="0.2">
      <c r="A1786" s="18"/>
      <c r="B1786" s="137"/>
    </row>
    <row r="1787" spans="1:2" ht="15" customHeight="1" x14ac:dyDescent="0.2">
      <c r="A1787" s="18"/>
      <c r="B1787" s="137"/>
    </row>
    <row r="1788" spans="1:2" ht="15" customHeight="1" x14ac:dyDescent="0.2">
      <c r="A1788" s="18"/>
      <c r="B1788" s="137"/>
    </row>
    <row r="1789" spans="1:2" ht="15" customHeight="1" x14ac:dyDescent="0.2">
      <c r="A1789" s="18"/>
      <c r="B1789" s="137"/>
    </row>
    <row r="1790" spans="1:2" ht="15" customHeight="1" x14ac:dyDescent="0.2">
      <c r="A1790" s="18"/>
      <c r="B1790" s="137"/>
    </row>
    <row r="1791" spans="1:2" ht="15" customHeight="1" x14ac:dyDescent="0.2">
      <c r="A1791" s="18"/>
      <c r="B1791" s="137"/>
    </row>
    <row r="1792" spans="1:2" ht="15" customHeight="1" x14ac:dyDescent="0.2">
      <c r="A1792" s="18"/>
      <c r="B1792" s="137"/>
    </row>
    <row r="1793" spans="1:2" ht="15" customHeight="1" x14ac:dyDescent="0.2">
      <c r="A1793" s="18"/>
      <c r="B1793" s="137"/>
    </row>
    <row r="1794" spans="1:2" ht="15" customHeight="1" x14ac:dyDescent="0.2">
      <c r="A1794" s="18"/>
      <c r="B1794" s="137"/>
    </row>
    <row r="1795" spans="1:2" ht="15" customHeight="1" x14ac:dyDescent="0.2">
      <c r="A1795" s="18"/>
      <c r="B1795" s="137"/>
    </row>
    <row r="1796" spans="1:2" ht="15" customHeight="1" x14ac:dyDescent="0.2">
      <c r="A1796" s="18"/>
      <c r="B1796" s="137"/>
    </row>
    <row r="1797" spans="1:2" ht="15" customHeight="1" x14ac:dyDescent="0.2">
      <c r="A1797" s="18"/>
      <c r="B1797" s="137"/>
    </row>
    <row r="1798" spans="1:2" ht="15" customHeight="1" x14ac:dyDescent="0.2">
      <c r="A1798" s="18"/>
      <c r="B1798" s="137"/>
    </row>
    <row r="1799" spans="1:2" ht="15" customHeight="1" x14ac:dyDescent="0.2">
      <c r="A1799" s="18"/>
      <c r="B1799" s="137"/>
    </row>
    <row r="1800" spans="1:2" ht="15" customHeight="1" x14ac:dyDescent="0.2">
      <c r="A1800" s="18"/>
      <c r="B1800" s="137"/>
    </row>
    <row r="1801" spans="1:2" ht="15" customHeight="1" x14ac:dyDescent="0.2">
      <c r="A1801" s="18"/>
      <c r="B1801" s="137"/>
    </row>
    <row r="1802" spans="1:2" ht="15" customHeight="1" x14ac:dyDescent="0.2">
      <c r="A1802" s="18"/>
      <c r="B1802" s="137"/>
    </row>
    <row r="1803" spans="1:2" ht="15" customHeight="1" x14ac:dyDescent="0.2">
      <c r="A1803" s="18"/>
      <c r="B1803" s="137"/>
    </row>
    <row r="1804" spans="1:2" ht="15" customHeight="1" x14ac:dyDescent="0.2">
      <c r="A1804" s="18"/>
      <c r="B1804" s="137"/>
    </row>
    <row r="1805" spans="1:2" ht="15" customHeight="1" x14ac:dyDescent="0.2">
      <c r="A1805" s="18"/>
      <c r="B1805" s="137"/>
    </row>
    <row r="1806" spans="1:2" ht="15" customHeight="1" x14ac:dyDescent="0.2">
      <c r="A1806" s="18"/>
      <c r="B1806" s="137"/>
    </row>
    <row r="1807" spans="1:2" ht="15" customHeight="1" x14ac:dyDescent="0.2">
      <c r="A1807" s="18"/>
      <c r="B1807" s="137"/>
    </row>
    <row r="1808" spans="1:2" ht="15" customHeight="1" x14ac:dyDescent="0.2">
      <c r="A1808" s="18"/>
      <c r="B1808" s="137"/>
    </row>
    <row r="1809" spans="1:2" ht="15" customHeight="1" x14ac:dyDescent="0.2">
      <c r="A1809" s="18"/>
      <c r="B1809" s="137"/>
    </row>
    <row r="1810" spans="1:2" ht="15" customHeight="1" x14ac:dyDescent="0.2">
      <c r="A1810" s="18"/>
      <c r="B1810" s="137"/>
    </row>
    <row r="1811" spans="1:2" ht="15" customHeight="1" x14ac:dyDescent="0.2">
      <c r="A1811" s="18"/>
      <c r="B1811" s="137"/>
    </row>
    <row r="1812" spans="1:2" ht="15" customHeight="1" x14ac:dyDescent="0.2">
      <c r="A1812" s="18"/>
      <c r="B1812" s="137"/>
    </row>
    <row r="1813" spans="1:2" ht="15" customHeight="1" x14ac:dyDescent="0.2">
      <c r="A1813" s="18"/>
      <c r="B1813" s="137"/>
    </row>
    <row r="1814" spans="1:2" ht="15" customHeight="1" x14ac:dyDescent="0.2">
      <c r="A1814" s="18"/>
      <c r="B1814" s="137"/>
    </row>
    <row r="1815" spans="1:2" ht="15" customHeight="1" x14ac:dyDescent="0.2">
      <c r="A1815" s="18"/>
      <c r="B1815" s="137"/>
    </row>
    <row r="1816" spans="1:2" ht="15" customHeight="1" x14ac:dyDescent="0.2">
      <c r="A1816" s="18"/>
      <c r="B1816" s="137"/>
    </row>
    <row r="1817" spans="1:2" ht="15" customHeight="1" x14ac:dyDescent="0.2">
      <c r="A1817" s="18"/>
      <c r="B1817" s="137"/>
    </row>
    <row r="1818" spans="1:2" ht="15" customHeight="1" x14ac:dyDescent="0.2">
      <c r="A1818" s="18"/>
      <c r="B1818" s="137"/>
    </row>
    <row r="1819" spans="1:2" ht="15" customHeight="1" x14ac:dyDescent="0.2">
      <c r="A1819" s="18"/>
      <c r="B1819" s="137"/>
    </row>
    <row r="1820" spans="1:2" ht="15" customHeight="1" x14ac:dyDescent="0.2">
      <c r="A1820" s="18"/>
      <c r="B1820" s="137"/>
    </row>
    <row r="1821" spans="1:2" ht="15" customHeight="1" x14ac:dyDescent="0.2">
      <c r="A1821" s="18"/>
      <c r="B1821" s="137"/>
    </row>
    <row r="1822" spans="1:2" ht="15" customHeight="1" x14ac:dyDescent="0.2">
      <c r="A1822" s="18"/>
      <c r="B1822" s="137"/>
    </row>
    <row r="1823" spans="1:2" ht="15" customHeight="1" x14ac:dyDescent="0.2">
      <c r="A1823" s="18"/>
      <c r="B1823" s="137"/>
    </row>
    <row r="1824" spans="1:2" ht="15" customHeight="1" x14ac:dyDescent="0.2">
      <c r="A1824" s="18"/>
      <c r="B1824" s="137"/>
    </row>
    <row r="1825" spans="1:2" ht="15" customHeight="1" x14ac:dyDescent="0.2">
      <c r="A1825" s="18"/>
      <c r="B1825" s="137"/>
    </row>
    <row r="1826" spans="1:2" ht="15" customHeight="1" x14ac:dyDescent="0.2">
      <c r="A1826" s="18"/>
      <c r="B1826" s="137"/>
    </row>
    <row r="1827" spans="1:2" ht="15" customHeight="1" x14ac:dyDescent="0.2">
      <c r="A1827" s="18"/>
      <c r="B1827" s="137"/>
    </row>
    <row r="1828" spans="1:2" ht="15" customHeight="1" x14ac:dyDescent="0.2">
      <c r="A1828" s="18"/>
      <c r="B1828" s="137"/>
    </row>
    <row r="1829" spans="1:2" ht="15" customHeight="1" x14ac:dyDescent="0.2">
      <c r="A1829" s="18"/>
      <c r="B1829" s="137"/>
    </row>
    <row r="1830" spans="1:2" ht="15" customHeight="1" x14ac:dyDescent="0.2">
      <c r="A1830" s="18"/>
      <c r="B1830" s="137"/>
    </row>
    <row r="1831" spans="1:2" ht="15" customHeight="1" x14ac:dyDescent="0.2">
      <c r="A1831" s="18"/>
      <c r="B1831" s="137"/>
    </row>
    <row r="1832" spans="1:2" ht="15" customHeight="1" x14ac:dyDescent="0.2">
      <c r="A1832" s="18"/>
      <c r="B1832" s="137"/>
    </row>
    <row r="1833" spans="1:2" ht="15" customHeight="1" x14ac:dyDescent="0.2">
      <c r="A1833" s="18"/>
      <c r="B1833" s="137"/>
    </row>
    <row r="1834" spans="1:2" ht="15" customHeight="1" x14ac:dyDescent="0.2">
      <c r="A1834" s="18"/>
      <c r="B1834" s="137"/>
    </row>
    <row r="1835" spans="1:2" ht="15" customHeight="1" x14ac:dyDescent="0.2">
      <c r="A1835" s="18"/>
      <c r="B1835" s="137"/>
    </row>
    <row r="1836" spans="1:2" ht="15" customHeight="1" x14ac:dyDescent="0.2">
      <c r="A1836" s="18"/>
      <c r="B1836" s="137"/>
    </row>
    <row r="1837" spans="1:2" ht="15" customHeight="1" x14ac:dyDescent="0.2">
      <c r="A1837" s="18"/>
      <c r="B1837" s="137"/>
    </row>
    <row r="1838" spans="1:2" ht="15" customHeight="1" x14ac:dyDescent="0.2">
      <c r="A1838" s="18"/>
      <c r="B1838" s="137"/>
    </row>
    <row r="1839" spans="1:2" ht="15" customHeight="1" x14ac:dyDescent="0.2">
      <c r="A1839" s="18"/>
      <c r="B1839" s="137"/>
    </row>
    <row r="1840" spans="1:2" ht="15" customHeight="1" x14ac:dyDescent="0.2">
      <c r="A1840" s="18"/>
      <c r="B1840" s="137"/>
    </row>
    <row r="1841" spans="1:2" ht="15" customHeight="1" x14ac:dyDescent="0.2">
      <c r="A1841" s="18"/>
      <c r="B1841" s="137"/>
    </row>
    <row r="1842" spans="1:2" ht="15" customHeight="1" x14ac:dyDescent="0.2">
      <c r="A1842" s="18"/>
      <c r="B1842" s="137"/>
    </row>
    <row r="1843" spans="1:2" ht="15" customHeight="1" x14ac:dyDescent="0.2">
      <c r="A1843" s="18"/>
      <c r="B1843" s="137"/>
    </row>
    <row r="1844" spans="1:2" ht="15" customHeight="1" x14ac:dyDescent="0.2">
      <c r="A1844" s="18"/>
      <c r="B1844" s="137"/>
    </row>
    <row r="1845" spans="1:2" ht="15" customHeight="1" x14ac:dyDescent="0.2">
      <c r="A1845" s="18"/>
      <c r="B1845" s="137"/>
    </row>
    <row r="1846" spans="1:2" ht="15" customHeight="1" x14ac:dyDescent="0.2">
      <c r="A1846" s="18"/>
      <c r="B1846" s="137"/>
    </row>
    <row r="1847" spans="1:2" ht="15" customHeight="1" x14ac:dyDescent="0.2">
      <c r="A1847" s="18"/>
      <c r="B1847" s="137"/>
    </row>
    <row r="1848" spans="1:2" ht="15" customHeight="1" x14ac:dyDescent="0.2">
      <c r="A1848" s="18"/>
      <c r="B1848" s="137"/>
    </row>
    <row r="1849" spans="1:2" ht="15" customHeight="1" x14ac:dyDescent="0.2">
      <c r="A1849" s="18"/>
      <c r="B1849" s="137"/>
    </row>
    <row r="1850" spans="1:2" ht="15" customHeight="1" x14ac:dyDescent="0.2">
      <c r="A1850" s="18"/>
      <c r="B1850" s="137"/>
    </row>
    <row r="1851" spans="1:2" ht="15" customHeight="1" x14ac:dyDescent="0.2">
      <c r="A1851" s="18"/>
      <c r="B1851" s="137"/>
    </row>
    <row r="1852" spans="1:2" ht="15" customHeight="1" x14ac:dyDescent="0.2">
      <c r="A1852" s="18"/>
      <c r="B1852" s="137"/>
    </row>
    <row r="1853" spans="1:2" ht="15" customHeight="1" x14ac:dyDescent="0.2">
      <c r="A1853" s="18"/>
      <c r="B1853" s="137"/>
    </row>
    <row r="1854" spans="1:2" ht="15" customHeight="1" x14ac:dyDescent="0.2">
      <c r="A1854" s="18"/>
      <c r="B1854" s="137"/>
    </row>
    <row r="1855" spans="1:2" ht="15" customHeight="1" x14ac:dyDescent="0.2">
      <c r="A1855" s="18"/>
      <c r="B1855" s="137"/>
    </row>
    <row r="1856" spans="1:2" ht="15" customHeight="1" x14ac:dyDescent="0.2">
      <c r="A1856" s="18"/>
      <c r="B1856" s="137"/>
    </row>
    <row r="1857" spans="1:2" ht="15" customHeight="1" x14ac:dyDescent="0.2">
      <c r="A1857" s="18"/>
      <c r="B1857" s="137"/>
    </row>
    <row r="1858" spans="1:2" ht="15" customHeight="1" x14ac:dyDescent="0.2">
      <c r="A1858" s="18"/>
      <c r="B1858" s="137"/>
    </row>
    <row r="1859" spans="1:2" ht="15" customHeight="1" x14ac:dyDescent="0.2">
      <c r="A1859" s="18"/>
      <c r="B1859" s="137"/>
    </row>
    <row r="1860" spans="1:2" ht="15" customHeight="1" x14ac:dyDescent="0.2">
      <c r="A1860" s="18"/>
      <c r="B1860" s="137"/>
    </row>
    <row r="1861" spans="1:2" ht="15" customHeight="1" x14ac:dyDescent="0.2">
      <c r="A1861" s="18"/>
      <c r="B1861" s="137"/>
    </row>
    <row r="1862" spans="1:2" ht="15" customHeight="1" x14ac:dyDescent="0.2">
      <c r="A1862" s="18"/>
      <c r="B1862" s="137"/>
    </row>
    <row r="1863" spans="1:2" ht="15" customHeight="1" x14ac:dyDescent="0.2">
      <c r="A1863" s="18"/>
      <c r="B1863" s="137"/>
    </row>
    <row r="1864" spans="1:2" ht="15" customHeight="1" x14ac:dyDescent="0.2">
      <c r="A1864" s="18"/>
      <c r="B1864" s="137"/>
    </row>
    <row r="1865" spans="1:2" ht="15" customHeight="1" x14ac:dyDescent="0.2">
      <c r="A1865" s="18"/>
      <c r="B1865" s="137"/>
    </row>
    <row r="1866" spans="1:2" ht="15" customHeight="1" x14ac:dyDescent="0.2">
      <c r="A1866" s="18"/>
      <c r="B1866" s="137"/>
    </row>
    <row r="1867" spans="1:2" ht="15" customHeight="1" x14ac:dyDescent="0.2">
      <c r="A1867" s="18"/>
      <c r="B1867" s="137"/>
    </row>
    <row r="1868" spans="1:2" ht="15" customHeight="1" x14ac:dyDescent="0.2">
      <c r="A1868" s="18"/>
      <c r="B1868" s="137"/>
    </row>
    <row r="1869" spans="1:2" ht="15" customHeight="1" x14ac:dyDescent="0.2">
      <c r="A1869" s="18"/>
      <c r="B1869" s="137"/>
    </row>
    <row r="1870" spans="1:2" ht="15" customHeight="1" x14ac:dyDescent="0.2">
      <c r="A1870" s="18"/>
      <c r="B1870" s="137"/>
    </row>
    <row r="1871" spans="1:2" ht="15" customHeight="1" x14ac:dyDescent="0.2">
      <c r="A1871" s="18"/>
      <c r="B1871" s="137"/>
    </row>
    <row r="1872" spans="1:2" ht="15" customHeight="1" x14ac:dyDescent="0.2">
      <c r="A1872" s="18"/>
      <c r="B1872" s="137"/>
    </row>
    <row r="1873" spans="1:2" ht="15" customHeight="1" x14ac:dyDescent="0.2">
      <c r="A1873" s="18"/>
      <c r="B1873" s="137"/>
    </row>
    <row r="1874" spans="1:2" ht="15" customHeight="1" x14ac:dyDescent="0.2">
      <c r="A1874" s="18"/>
      <c r="B1874" s="137"/>
    </row>
    <row r="1875" spans="1:2" ht="15" customHeight="1" x14ac:dyDescent="0.2">
      <c r="A1875" s="18"/>
      <c r="B1875" s="137"/>
    </row>
    <row r="1876" spans="1:2" ht="15" customHeight="1" x14ac:dyDescent="0.2">
      <c r="A1876" s="18"/>
      <c r="B1876" s="137"/>
    </row>
    <row r="1877" spans="1:2" ht="15" customHeight="1" x14ac:dyDescent="0.2">
      <c r="A1877" s="18"/>
      <c r="B1877" s="137"/>
    </row>
    <row r="1878" spans="1:2" ht="15" customHeight="1" x14ac:dyDescent="0.2">
      <c r="A1878" s="18"/>
      <c r="B1878" s="137"/>
    </row>
    <row r="1879" spans="1:2" ht="15" customHeight="1" x14ac:dyDescent="0.2">
      <c r="A1879" s="18"/>
      <c r="B1879" s="137"/>
    </row>
    <row r="1880" spans="1:2" ht="15" customHeight="1" x14ac:dyDescent="0.2">
      <c r="A1880" s="18"/>
      <c r="B1880" s="137"/>
    </row>
    <row r="1881" spans="1:2" ht="15" customHeight="1" x14ac:dyDescent="0.2">
      <c r="A1881" s="18"/>
      <c r="B1881" s="137"/>
    </row>
    <row r="1882" spans="1:2" ht="15" customHeight="1" x14ac:dyDescent="0.2">
      <c r="A1882" s="18"/>
      <c r="B1882" s="137"/>
    </row>
    <row r="1883" spans="1:2" ht="15" customHeight="1" x14ac:dyDescent="0.2">
      <c r="A1883" s="18"/>
      <c r="B1883" s="137"/>
    </row>
    <row r="1884" spans="1:2" ht="15" customHeight="1" x14ac:dyDescent="0.2">
      <c r="A1884" s="18"/>
      <c r="B1884" s="137"/>
    </row>
    <row r="1885" spans="1:2" ht="15" customHeight="1" x14ac:dyDescent="0.2">
      <c r="A1885" s="18"/>
      <c r="B1885" s="137"/>
    </row>
    <row r="1886" spans="1:2" ht="15" customHeight="1" x14ac:dyDescent="0.2">
      <c r="A1886" s="18"/>
      <c r="B1886" s="137"/>
    </row>
    <row r="1887" spans="1:2" ht="15" customHeight="1" x14ac:dyDescent="0.2">
      <c r="A1887" s="18"/>
      <c r="B1887" s="137"/>
    </row>
    <row r="1888" spans="1:2" ht="15" customHeight="1" x14ac:dyDescent="0.2">
      <c r="A1888" s="18"/>
      <c r="B1888" s="137"/>
    </row>
    <row r="1889" spans="1:2" ht="15" customHeight="1" x14ac:dyDescent="0.2">
      <c r="A1889" s="18"/>
      <c r="B1889" s="137"/>
    </row>
    <row r="1890" spans="1:2" ht="15" customHeight="1" x14ac:dyDescent="0.2">
      <c r="A1890" s="18"/>
      <c r="B1890" s="137"/>
    </row>
    <row r="1891" spans="1:2" ht="15" customHeight="1" x14ac:dyDescent="0.2">
      <c r="A1891" s="18"/>
      <c r="B1891" s="137"/>
    </row>
    <row r="1892" spans="1:2" ht="15" customHeight="1" x14ac:dyDescent="0.2">
      <c r="A1892" s="18"/>
      <c r="B1892" s="137"/>
    </row>
    <row r="1893" spans="1:2" ht="15" customHeight="1" x14ac:dyDescent="0.2">
      <c r="A1893" s="18"/>
      <c r="B1893" s="137"/>
    </row>
    <row r="1894" spans="1:2" ht="15" customHeight="1" x14ac:dyDescent="0.2">
      <c r="A1894" s="18"/>
      <c r="B1894" s="137"/>
    </row>
    <row r="1895" spans="1:2" ht="15" customHeight="1" x14ac:dyDescent="0.2">
      <c r="A1895" s="18"/>
      <c r="B1895" s="137"/>
    </row>
    <row r="1896" spans="1:2" ht="15" customHeight="1" x14ac:dyDescent="0.2">
      <c r="A1896" s="18"/>
      <c r="B1896" s="137"/>
    </row>
    <row r="1897" spans="1:2" ht="15" customHeight="1" x14ac:dyDescent="0.2">
      <c r="A1897" s="18"/>
      <c r="B1897" s="137"/>
    </row>
    <row r="1898" spans="1:2" ht="15" customHeight="1" x14ac:dyDescent="0.2">
      <c r="A1898" s="18"/>
      <c r="B1898" s="137"/>
    </row>
    <row r="1899" spans="1:2" ht="15" customHeight="1" x14ac:dyDescent="0.2">
      <c r="A1899" s="18"/>
      <c r="B1899" s="137"/>
    </row>
    <row r="1900" spans="1:2" ht="15" customHeight="1" x14ac:dyDescent="0.2">
      <c r="A1900" s="18"/>
      <c r="B1900" s="137"/>
    </row>
    <row r="1901" spans="1:2" ht="15" customHeight="1" x14ac:dyDescent="0.2">
      <c r="A1901" s="18"/>
      <c r="B1901" s="137"/>
    </row>
    <row r="1902" spans="1:2" ht="15" customHeight="1" x14ac:dyDescent="0.2">
      <c r="A1902" s="18"/>
      <c r="B1902" s="137"/>
    </row>
    <row r="1903" spans="1:2" ht="15" customHeight="1" x14ac:dyDescent="0.2">
      <c r="A1903" s="18"/>
      <c r="B1903" s="137"/>
    </row>
    <row r="1904" spans="1:2" ht="15" customHeight="1" x14ac:dyDescent="0.2">
      <c r="A1904" s="18"/>
      <c r="B1904" s="137"/>
    </row>
    <row r="1905" spans="1:2" ht="15" customHeight="1" x14ac:dyDescent="0.2">
      <c r="A1905" s="18"/>
      <c r="B1905" s="137"/>
    </row>
    <row r="1906" spans="1:2" ht="15" customHeight="1" x14ac:dyDescent="0.2">
      <c r="A1906" s="18"/>
      <c r="B1906" s="137"/>
    </row>
    <row r="1907" spans="1:2" ht="15" customHeight="1" x14ac:dyDescent="0.2">
      <c r="A1907" s="18"/>
      <c r="B1907" s="137"/>
    </row>
    <row r="1908" spans="1:2" ht="15" customHeight="1" x14ac:dyDescent="0.2">
      <c r="A1908" s="18"/>
      <c r="B1908" s="137"/>
    </row>
    <row r="1909" spans="1:2" ht="15" customHeight="1" x14ac:dyDescent="0.2">
      <c r="A1909" s="18"/>
      <c r="B1909" s="137"/>
    </row>
    <row r="1910" spans="1:2" ht="15" customHeight="1" x14ac:dyDescent="0.2">
      <c r="A1910" s="18"/>
      <c r="B1910" s="137"/>
    </row>
    <row r="1911" spans="1:2" ht="15" customHeight="1" x14ac:dyDescent="0.2">
      <c r="A1911" s="18"/>
      <c r="B1911" s="137"/>
    </row>
    <row r="1912" spans="1:2" ht="15" customHeight="1" x14ac:dyDescent="0.2">
      <c r="A1912" s="18"/>
      <c r="B1912" s="137"/>
    </row>
    <row r="1913" spans="1:2" ht="15" customHeight="1" x14ac:dyDescent="0.2">
      <c r="A1913" s="18"/>
      <c r="B1913" s="137"/>
    </row>
    <row r="1914" spans="1:2" ht="15" customHeight="1" x14ac:dyDescent="0.2">
      <c r="A1914" s="18"/>
      <c r="B1914" s="137"/>
    </row>
    <row r="1915" spans="1:2" ht="15" customHeight="1" x14ac:dyDescent="0.2">
      <c r="A1915" s="18"/>
      <c r="B1915" s="137"/>
    </row>
    <row r="1916" spans="1:2" ht="15" customHeight="1" x14ac:dyDescent="0.2">
      <c r="A1916" s="18"/>
      <c r="B1916" s="137"/>
    </row>
    <row r="1917" spans="1:2" ht="15" customHeight="1" x14ac:dyDescent="0.2">
      <c r="A1917" s="18"/>
      <c r="B1917" s="137"/>
    </row>
    <row r="1918" spans="1:2" ht="15" customHeight="1" x14ac:dyDescent="0.2">
      <c r="A1918" s="18"/>
      <c r="B1918" s="137"/>
    </row>
    <row r="1919" spans="1:2" ht="15" customHeight="1" x14ac:dyDescent="0.2">
      <c r="A1919" s="18"/>
      <c r="B1919" s="137"/>
    </row>
    <row r="1920" spans="1:2" ht="15" customHeight="1" x14ac:dyDescent="0.2">
      <c r="A1920" s="18"/>
      <c r="B1920" s="137"/>
    </row>
    <row r="1921" spans="1:2" ht="15" customHeight="1" x14ac:dyDescent="0.2">
      <c r="A1921" s="18"/>
      <c r="B1921" s="137"/>
    </row>
    <row r="1922" spans="1:2" ht="15" customHeight="1" x14ac:dyDescent="0.2">
      <c r="A1922" s="18"/>
      <c r="B1922" s="137"/>
    </row>
    <row r="1923" spans="1:2" ht="15" customHeight="1" x14ac:dyDescent="0.2">
      <c r="A1923" s="18"/>
      <c r="B1923" s="137"/>
    </row>
    <row r="1924" spans="1:2" ht="15" customHeight="1" x14ac:dyDescent="0.2">
      <c r="A1924" s="18"/>
      <c r="B1924" s="137"/>
    </row>
    <row r="1925" spans="1:2" ht="15" customHeight="1" x14ac:dyDescent="0.2">
      <c r="A1925" s="18"/>
      <c r="B1925" s="137"/>
    </row>
    <row r="1926" spans="1:2" ht="15" customHeight="1" x14ac:dyDescent="0.2">
      <c r="A1926" s="18"/>
      <c r="B1926" s="137"/>
    </row>
    <row r="1927" spans="1:2" ht="15" customHeight="1" x14ac:dyDescent="0.2">
      <c r="A1927" s="18"/>
      <c r="B1927" s="137"/>
    </row>
    <row r="1928" spans="1:2" ht="15" customHeight="1" x14ac:dyDescent="0.2">
      <c r="A1928" s="18"/>
      <c r="B1928" s="137"/>
    </row>
    <row r="1929" spans="1:2" ht="15" customHeight="1" x14ac:dyDescent="0.2">
      <c r="A1929" s="18"/>
      <c r="B1929" s="137"/>
    </row>
    <row r="1930" spans="1:2" ht="15" customHeight="1" x14ac:dyDescent="0.2">
      <c r="A1930" s="18"/>
      <c r="B1930" s="137"/>
    </row>
    <row r="1931" spans="1:2" ht="15" customHeight="1" x14ac:dyDescent="0.2">
      <c r="A1931" s="18"/>
      <c r="B1931" s="137"/>
    </row>
    <row r="1932" spans="1:2" ht="15" customHeight="1" x14ac:dyDescent="0.2">
      <c r="A1932" s="18"/>
      <c r="B1932" s="137"/>
    </row>
    <row r="1933" spans="1:2" ht="15" customHeight="1" x14ac:dyDescent="0.2">
      <c r="A1933" s="18"/>
      <c r="B1933" s="137"/>
    </row>
    <row r="1934" spans="1:2" ht="15" customHeight="1" x14ac:dyDescent="0.2">
      <c r="A1934" s="18"/>
      <c r="B1934" s="137"/>
    </row>
    <row r="1935" spans="1:2" ht="15" customHeight="1" x14ac:dyDescent="0.2">
      <c r="A1935" s="18"/>
      <c r="B1935" s="137"/>
    </row>
    <row r="1936" spans="1:2" ht="15" customHeight="1" x14ac:dyDescent="0.2">
      <c r="A1936" s="18"/>
      <c r="B1936" s="137"/>
    </row>
    <row r="1937" spans="1:2" ht="15" customHeight="1" x14ac:dyDescent="0.2">
      <c r="A1937" s="18"/>
      <c r="B1937" s="137"/>
    </row>
    <row r="1938" spans="1:2" ht="15" customHeight="1" x14ac:dyDescent="0.2">
      <c r="A1938" s="18"/>
      <c r="B1938" s="137"/>
    </row>
    <row r="1939" spans="1:2" ht="15" customHeight="1" x14ac:dyDescent="0.2">
      <c r="A1939" s="18"/>
      <c r="B1939" s="137"/>
    </row>
    <row r="1940" spans="1:2" ht="15" customHeight="1" x14ac:dyDescent="0.2">
      <c r="A1940" s="18"/>
      <c r="B1940" s="137"/>
    </row>
    <row r="1941" spans="1:2" ht="15" customHeight="1" x14ac:dyDescent="0.2">
      <c r="A1941" s="18"/>
      <c r="B1941" s="137"/>
    </row>
    <row r="1942" spans="1:2" ht="15" customHeight="1" x14ac:dyDescent="0.2">
      <c r="A1942" s="18"/>
      <c r="B1942" s="137"/>
    </row>
    <row r="1943" spans="1:2" ht="15" customHeight="1" x14ac:dyDescent="0.2">
      <c r="A1943" s="18"/>
      <c r="B1943" s="137"/>
    </row>
    <row r="1944" spans="1:2" ht="15" customHeight="1" x14ac:dyDescent="0.2">
      <c r="A1944" s="18"/>
      <c r="B1944" s="137"/>
    </row>
    <row r="1945" spans="1:2" ht="15" customHeight="1" x14ac:dyDescent="0.2">
      <c r="A1945" s="18"/>
      <c r="B1945" s="137"/>
    </row>
    <row r="1946" spans="1:2" ht="15" customHeight="1" x14ac:dyDescent="0.2">
      <c r="A1946" s="18"/>
      <c r="B1946" s="137"/>
    </row>
    <row r="1947" spans="1:2" ht="15" customHeight="1" x14ac:dyDescent="0.2">
      <c r="A1947" s="18"/>
      <c r="B1947" s="137"/>
    </row>
    <row r="1948" spans="1:2" ht="15" customHeight="1" x14ac:dyDescent="0.2">
      <c r="A1948" s="18"/>
      <c r="B1948" s="137"/>
    </row>
    <row r="1949" spans="1:2" ht="15" customHeight="1" x14ac:dyDescent="0.2">
      <c r="A1949" s="18"/>
      <c r="B1949" s="137"/>
    </row>
    <row r="1950" spans="1:2" ht="15" customHeight="1" x14ac:dyDescent="0.2">
      <c r="A1950" s="18"/>
      <c r="B1950" s="137"/>
    </row>
    <row r="1951" spans="1:2" ht="15" customHeight="1" x14ac:dyDescent="0.2">
      <c r="A1951" s="18"/>
      <c r="B1951" s="137"/>
    </row>
    <row r="1952" spans="1:2" ht="15" customHeight="1" x14ac:dyDescent="0.2">
      <c r="A1952" s="18"/>
      <c r="B1952" s="137"/>
    </row>
    <row r="1953" spans="1:2" ht="15" customHeight="1" x14ac:dyDescent="0.2">
      <c r="A1953" s="18"/>
      <c r="B1953" s="137"/>
    </row>
    <row r="1954" spans="1:2" ht="15" customHeight="1" x14ac:dyDescent="0.2">
      <c r="A1954" s="18"/>
      <c r="B1954" s="137"/>
    </row>
    <row r="1955" spans="1:2" ht="15" customHeight="1" x14ac:dyDescent="0.2">
      <c r="A1955" s="18"/>
      <c r="B1955" s="137"/>
    </row>
    <row r="1956" spans="1:2" ht="15" customHeight="1" x14ac:dyDescent="0.2">
      <c r="A1956" s="18"/>
      <c r="B1956" s="137"/>
    </row>
    <row r="1957" spans="1:2" ht="15" customHeight="1" x14ac:dyDescent="0.2">
      <c r="A1957" s="18"/>
      <c r="B1957" s="137"/>
    </row>
    <row r="1958" spans="1:2" ht="15" customHeight="1" x14ac:dyDescent="0.2">
      <c r="A1958" s="18"/>
      <c r="B1958" s="137"/>
    </row>
    <row r="1959" spans="1:2" ht="15" customHeight="1" x14ac:dyDescent="0.2">
      <c r="A1959" s="18"/>
      <c r="B1959" s="137"/>
    </row>
    <row r="1960" spans="1:2" ht="15" customHeight="1" x14ac:dyDescent="0.2">
      <c r="A1960" s="18"/>
      <c r="B1960" s="137"/>
    </row>
    <row r="1961" spans="1:2" ht="15" customHeight="1" x14ac:dyDescent="0.2">
      <c r="A1961" s="18"/>
      <c r="B1961" s="137"/>
    </row>
    <row r="1962" spans="1:2" ht="15" customHeight="1" x14ac:dyDescent="0.2">
      <c r="A1962" s="18"/>
      <c r="B1962" s="137"/>
    </row>
    <row r="1963" spans="1:2" ht="15" customHeight="1" x14ac:dyDescent="0.2">
      <c r="A1963" s="18"/>
      <c r="B1963" s="137"/>
    </row>
    <row r="1964" spans="1:2" ht="15" customHeight="1" x14ac:dyDescent="0.2">
      <c r="A1964" s="18"/>
      <c r="B1964" s="137"/>
    </row>
    <row r="1965" spans="1:2" ht="15" customHeight="1" x14ac:dyDescent="0.2">
      <c r="A1965" s="18"/>
      <c r="B1965" s="137"/>
    </row>
    <row r="1966" spans="1:2" ht="15" customHeight="1" x14ac:dyDescent="0.2">
      <c r="A1966" s="18"/>
      <c r="B1966" s="137"/>
    </row>
    <row r="1967" spans="1:2" ht="15" customHeight="1" x14ac:dyDescent="0.2">
      <c r="A1967" s="18"/>
      <c r="B1967" s="137"/>
    </row>
    <row r="1968" spans="1:2" ht="15" customHeight="1" x14ac:dyDescent="0.2">
      <c r="A1968" s="18"/>
      <c r="B1968" s="137"/>
    </row>
    <row r="1969" spans="1:2" ht="15" customHeight="1" x14ac:dyDescent="0.2">
      <c r="A1969" s="18"/>
      <c r="B1969" s="137"/>
    </row>
    <row r="1970" spans="1:2" ht="15" customHeight="1" x14ac:dyDescent="0.2">
      <c r="A1970" s="18"/>
      <c r="B1970" s="137"/>
    </row>
    <row r="1971" spans="1:2" ht="15" customHeight="1" x14ac:dyDescent="0.2">
      <c r="A1971" s="18"/>
      <c r="B1971" s="137"/>
    </row>
    <row r="1972" spans="1:2" ht="15" customHeight="1" x14ac:dyDescent="0.2">
      <c r="A1972" s="18"/>
      <c r="B1972" s="137"/>
    </row>
    <row r="1973" spans="1:2" ht="15" customHeight="1" x14ac:dyDescent="0.2">
      <c r="A1973" s="18"/>
      <c r="B1973" s="137"/>
    </row>
    <row r="1974" spans="1:2" ht="15" customHeight="1" x14ac:dyDescent="0.2">
      <c r="A1974" s="18"/>
      <c r="B1974" s="137"/>
    </row>
    <row r="1975" spans="1:2" ht="15" customHeight="1" x14ac:dyDescent="0.2">
      <c r="A1975" s="18"/>
      <c r="B1975" s="137"/>
    </row>
    <row r="1976" spans="1:2" ht="15" customHeight="1" x14ac:dyDescent="0.2">
      <c r="A1976" s="18"/>
      <c r="B1976" s="137"/>
    </row>
    <row r="1977" spans="1:2" ht="15" customHeight="1" x14ac:dyDescent="0.2">
      <c r="A1977" s="18"/>
      <c r="B1977" s="137"/>
    </row>
    <row r="1978" spans="1:2" ht="15" customHeight="1" x14ac:dyDescent="0.2">
      <c r="A1978" s="18"/>
      <c r="B1978" s="137"/>
    </row>
    <row r="1979" spans="1:2" ht="15" customHeight="1" x14ac:dyDescent="0.2">
      <c r="A1979" s="18"/>
      <c r="B1979" s="137"/>
    </row>
    <row r="1980" spans="1:2" ht="15" customHeight="1" x14ac:dyDescent="0.2">
      <c r="A1980" s="18"/>
      <c r="B1980" s="137"/>
    </row>
    <row r="1981" spans="1:2" ht="15" customHeight="1" x14ac:dyDescent="0.2">
      <c r="A1981" s="18"/>
      <c r="B1981" s="137"/>
    </row>
    <row r="1982" spans="1:2" ht="15" customHeight="1" x14ac:dyDescent="0.2">
      <c r="A1982" s="18"/>
      <c r="B1982" s="137"/>
    </row>
    <row r="1983" spans="1:2" ht="15" customHeight="1" x14ac:dyDescent="0.2">
      <c r="A1983" s="18"/>
      <c r="B1983" s="137"/>
    </row>
    <row r="1984" spans="1:2" ht="15" customHeight="1" x14ac:dyDescent="0.2">
      <c r="A1984" s="18"/>
      <c r="B1984" s="137"/>
    </row>
    <row r="1985" spans="1:2" ht="15" customHeight="1" x14ac:dyDescent="0.2">
      <c r="A1985" s="18"/>
      <c r="B1985" s="137"/>
    </row>
    <row r="1986" spans="1:2" ht="15" customHeight="1" x14ac:dyDescent="0.2">
      <c r="A1986" s="18"/>
      <c r="B1986" s="137"/>
    </row>
    <row r="1987" spans="1:2" ht="15" customHeight="1" x14ac:dyDescent="0.2">
      <c r="A1987" s="18"/>
      <c r="B1987" s="137"/>
    </row>
    <row r="1988" spans="1:2" ht="15" customHeight="1" x14ac:dyDescent="0.2">
      <c r="A1988" s="18"/>
      <c r="B1988" s="137"/>
    </row>
    <row r="1989" spans="1:2" ht="15" customHeight="1" x14ac:dyDescent="0.2">
      <c r="A1989" s="18"/>
      <c r="B1989" s="137"/>
    </row>
    <row r="1990" spans="1:2" ht="15" customHeight="1" x14ac:dyDescent="0.2">
      <c r="A1990" s="18"/>
      <c r="B1990" s="137"/>
    </row>
    <row r="1991" spans="1:2" ht="15" customHeight="1" x14ac:dyDescent="0.2">
      <c r="A1991" s="18"/>
      <c r="B1991" s="137"/>
    </row>
    <row r="1992" spans="1:2" ht="15" customHeight="1" x14ac:dyDescent="0.2">
      <c r="A1992" s="18"/>
      <c r="B1992" s="137"/>
    </row>
    <row r="1993" spans="1:2" ht="15" customHeight="1" x14ac:dyDescent="0.2">
      <c r="A1993" s="18"/>
      <c r="B1993" s="137"/>
    </row>
    <row r="1994" spans="1:2" ht="15" customHeight="1" x14ac:dyDescent="0.2">
      <c r="A1994" s="18"/>
      <c r="B1994" s="137"/>
    </row>
    <row r="1995" spans="1:2" ht="15" customHeight="1" x14ac:dyDescent="0.2">
      <c r="A1995" s="18"/>
      <c r="B1995" s="137"/>
    </row>
    <row r="1996" spans="1:2" ht="15" customHeight="1" x14ac:dyDescent="0.2">
      <c r="A1996" s="18"/>
      <c r="B1996" s="137"/>
    </row>
    <row r="1997" spans="1:2" ht="15" customHeight="1" x14ac:dyDescent="0.2">
      <c r="A1997" s="18"/>
      <c r="B1997" s="137"/>
    </row>
    <row r="1998" spans="1:2" ht="15" customHeight="1" x14ac:dyDescent="0.2">
      <c r="A1998" s="18"/>
      <c r="B1998" s="137"/>
    </row>
    <row r="1999" spans="1:2" ht="15" customHeight="1" x14ac:dyDescent="0.2">
      <c r="A1999" s="18"/>
      <c r="B1999" s="137"/>
    </row>
    <row r="2000" spans="1:2" ht="15" customHeight="1" x14ac:dyDescent="0.2">
      <c r="A2000" s="18"/>
      <c r="B2000" s="137"/>
    </row>
    <row r="2001" spans="1:2" ht="15" customHeight="1" x14ac:dyDescent="0.2">
      <c r="A2001" s="18"/>
      <c r="B2001" s="137"/>
    </row>
    <row r="2002" spans="1:2" ht="15" customHeight="1" x14ac:dyDescent="0.2">
      <c r="A2002" s="18"/>
      <c r="B2002" s="137"/>
    </row>
    <row r="2003" spans="1:2" ht="15" customHeight="1" x14ac:dyDescent="0.2">
      <c r="A2003" s="18"/>
      <c r="B2003" s="137"/>
    </row>
    <row r="2004" spans="1:2" ht="15" customHeight="1" x14ac:dyDescent="0.2">
      <c r="A2004" s="18"/>
      <c r="B2004" s="137"/>
    </row>
    <row r="2005" spans="1:2" ht="15" customHeight="1" x14ac:dyDescent="0.2">
      <c r="A2005" s="18"/>
      <c r="B2005" s="137"/>
    </row>
    <row r="2006" spans="1:2" ht="15" customHeight="1" x14ac:dyDescent="0.2">
      <c r="A2006" s="18"/>
      <c r="B2006" s="137"/>
    </row>
    <row r="2007" spans="1:2" ht="15" customHeight="1" x14ac:dyDescent="0.2">
      <c r="A2007" s="18"/>
      <c r="B2007" s="137"/>
    </row>
    <row r="2008" spans="1:2" ht="15" customHeight="1" x14ac:dyDescent="0.2">
      <c r="A2008" s="18"/>
      <c r="B2008" s="137"/>
    </row>
    <row r="2009" spans="1:2" ht="15" customHeight="1" x14ac:dyDescent="0.2">
      <c r="A2009" s="18"/>
      <c r="B2009" s="137"/>
    </row>
    <row r="2010" spans="1:2" ht="15" customHeight="1" x14ac:dyDescent="0.2">
      <c r="A2010" s="18"/>
      <c r="B2010" s="137"/>
    </row>
    <row r="2011" spans="1:2" ht="15" customHeight="1" x14ac:dyDescent="0.2">
      <c r="A2011" s="18"/>
      <c r="B2011" s="137"/>
    </row>
    <row r="2012" spans="1:2" ht="15" customHeight="1" x14ac:dyDescent="0.2">
      <c r="A2012" s="18"/>
      <c r="B2012" s="137"/>
    </row>
    <row r="2013" spans="1:2" ht="15" customHeight="1" x14ac:dyDescent="0.2">
      <c r="A2013" s="18"/>
      <c r="B2013" s="137"/>
    </row>
    <row r="2014" spans="1:2" ht="15" customHeight="1" x14ac:dyDescent="0.2">
      <c r="A2014" s="18"/>
      <c r="B2014" s="137"/>
    </row>
    <row r="2015" spans="1:2" ht="15" customHeight="1" x14ac:dyDescent="0.2">
      <c r="A2015" s="18"/>
      <c r="B2015" s="137"/>
    </row>
    <row r="2016" spans="1:2" ht="15" customHeight="1" x14ac:dyDescent="0.2">
      <c r="A2016" s="18"/>
      <c r="B2016" s="137"/>
    </row>
    <row r="2017" spans="1:2" ht="15" customHeight="1" x14ac:dyDescent="0.2">
      <c r="A2017" s="18"/>
      <c r="B2017" s="137"/>
    </row>
    <row r="2018" spans="1:2" ht="15" customHeight="1" x14ac:dyDescent="0.2">
      <c r="A2018" s="18"/>
      <c r="B2018" s="137"/>
    </row>
    <row r="2019" spans="1:2" ht="15" customHeight="1" x14ac:dyDescent="0.2">
      <c r="A2019" s="18"/>
      <c r="B2019" s="137"/>
    </row>
    <row r="2020" spans="1:2" ht="15" customHeight="1" x14ac:dyDescent="0.2">
      <c r="A2020" s="18"/>
      <c r="B2020" s="137"/>
    </row>
    <row r="2021" spans="1:2" ht="15" customHeight="1" x14ac:dyDescent="0.2">
      <c r="A2021" s="18"/>
      <c r="B2021" s="137"/>
    </row>
    <row r="2022" spans="1:2" ht="15" customHeight="1" x14ac:dyDescent="0.2">
      <c r="A2022" s="18"/>
      <c r="B2022" s="137"/>
    </row>
    <row r="2023" spans="1:2" ht="15" customHeight="1" x14ac:dyDescent="0.2">
      <c r="A2023" s="18"/>
      <c r="B2023" s="137"/>
    </row>
    <row r="2024" spans="1:2" ht="15" customHeight="1" x14ac:dyDescent="0.2">
      <c r="A2024" s="18"/>
      <c r="B2024" s="137"/>
    </row>
    <row r="2025" spans="1:2" ht="15" customHeight="1" x14ac:dyDescent="0.2">
      <c r="A2025" s="18"/>
      <c r="B2025" s="137"/>
    </row>
    <row r="2026" spans="1:2" ht="15" customHeight="1" x14ac:dyDescent="0.2">
      <c r="A2026" s="18"/>
      <c r="B2026" s="137"/>
    </row>
    <row r="2027" spans="1:2" ht="15" customHeight="1" x14ac:dyDescent="0.2">
      <c r="A2027" s="18"/>
      <c r="B2027" s="137"/>
    </row>
    <row r="2028" spans="1:2" ht="15" customHeight="1" x14ac:dyDescent="0.2">
      <c r="A2028" s="18"/>
      <c r="B2028" s="137"/>
    </row>
    <row r="2029" spans="1:2" ht="15" customHeight="1" x14ac:dyDescent="0.2">
      <c r="A2029" s="18"/>
      <c r="B2029" s="137"/>
    </row>
    <row r="2030" spans="1:2" ht="15" customHeight="1" x14ac:dyDescent="0.2">
      <c r="A2030" s="18"/>
      <c r="B2030" s="137"/>
    </row>
    <row r="2031" spans="1:2" ht="15" customHeight="1" x14ac:dyDescent="0.2">
      <c r="A2031" s="18"/>
      <c r="B2031" s="137"/>
    </row>
    <row r="2032" spans="1:2" ht="15" customHeight="1" x14ac:dyDescent="0.2">
      <c r="A2032" s="18"/>
      <c r="B2032" s="137"/>
    </row>
    <row r="2033" spans="1:2" ht="15" customHeight="1" x14ac:dyDescent="0.2">
      <c r="A2033" s="18"/>
      <c r="B2033" s="137"/>
    </row>
    <row r="2034" spans="1:2" ht="15" customHeight="1" x14ac:dyDescent="0.2">
      <c r="A2034" s="18"/>
      <c r="B2034" s="137"/>
    </row>
    <row r="2035" spans="1:2" ht="15" customHeight="1" x14ac:dyDescent="0.2">
      <c r="A2035" s="18"/>
      <c r="B2035" s="137"/>
    </row>
    <row r="2036" spans="1:2" ht="15" customHeight="1" x14ac:dyDescent="0.2">
      <c r="A2036" s="18"/>
      <c r="B2036" s="137"/>
    </row>
    <row r="2037" spans="1:2" ht="15" customHeight="1" x14ac:dyDescent="0.2">
      <c r="A2037" s="18"/>
      <c r="B2037" s="137"/>
    </row>
    <row r="2038" spans="1:2" ht="15" customHeight="1" x14ac:dyDescent="0.2">
      <c r="A2038" s="18"/>
      <c r="B2038" s="137"/>
    </row>
    <row r="2039" spans="1:2" ht="15" customHeight="1" x14ac:dyDescent="0.2">
      <c r="A2039" s="18"/>
      <c r="B2039" s="137"/>
    </row>
    <row r="2040" spans="1:2" ht="15" customHeight="1" x14ac:dyDescent="0.2">
      <c r="A2040" s="18"/>
      <c r="B2040" s="137"/>
    </row>
    <row r="2041" spans="1:2" ht="15" customHeight="1" x14ac:dyDescent="0.2">
      <c r="A2041" s="18"/>
      <c r="B2041" s="137"/>
    </row>
    <row r="2042" spans="1:2" ht="15" customHeight="1" x14ac:dyDescent="0.2">
      <c r="A2042" s="18"/>
      <c r="B2042" s="137"/>
    </row>
    <row r="2043" spans="1:2" ht="15" customHeight="1" x14ac:dyDescent="0.2">
      <c r="A2043" s="18"/>
      <c r="B2043" s="137"/>
    </row>
    <row r="2044" spans="1:2" ht="15" customHeight="1" x14ac:dyDescent="0.2">
      <c r="A2044" s="18"/>
      <c r="B2044" s="137"/>
    </row>
    <row r="2045" spans="1:2" ht="15" customHeight="1" x14ac:dyDescent="0.2">
      <c r="A2045" s="18"/>
      <c r="B2045" s="137"/>
    </row>
    <row r="2046" spans="1:2" ht="15" customHeight="1" x14ac:dyDescent="0.2">
      <c r="A2046" s="18"/>
      <c r="B2046" s="137"/>
    </row>
    <row r="2047" spans="1:2" ht="15" customHeight="1" x14ac:dyDescent="0.2">
      <c r="A2047" s="18"/>
      <c r="B2047" s="137"/>
    </row>
    <row r="2048" spans="1:2" ht="15" customHeight="1" x14ac:dyDescent="0.2">
      <c r="A2048" s="18"/>
      <c r="B2048" s="137"/>
    </row>
    <row r="2049" spans="1:2" ht="15" customHeight="1" x14ac:dyDescent="0.2">
      <c r="A2049" s="18"/>
      <c r="B2049" s="137"/>
    </row>
    <row r="2050" spans="1:2" ht="15" customHeight="1" x14ac:dyDescent="0.2">
      <c r="A2050" s="18"/>
      <c r="B2050" s="137"/>
    </row>
    <row r="2051" spans="1:2" ht="15" customHeight="1" x14ac:dyDescent="0.2">
      <c r="A2051" s="18"/>
      <c r="B2051" s="137"/>
    </row>
    <row r="2052" spans="1:2" ht="15" customHeight="1" x14ac:dyDescent="0.2">
      <c r="A2052" s="18"/>
      <c r="B2052" s="137"/>
    </row>
    <row r="2053" spans="1:2" ht="15" customHeight="1" x14ac:dyDescent="0.2">
      <c r="A2053" s="18"/>
      <c r="B2053" s="137"/>
    </row>
    <row r="2054" spans="1:2" ht="15" customHeight="1" x14ac:dyDescent="0.2">
      <c r="A2054" s="18"/>
      <c r="B2054" s="137"/>
    </row>
    <row r="2055" spans="1:2" ht="15" customHeight="1" x14ac:dyDescent="0.2">
      <c r="A2055" s="18"/>
      <c r="B2055" s="137"/>
    </row>
    <row r="2056" spans="1:2" ht="15" customHeight="1" x14ac:dyDescent="0.2">
      <c r="A2056" s="18"/>
      <c r="B2056" s="137"/>
    </row>
    <row r="2057" spans="1:2" ht="15" customHeight="1" x14ac:dyDescent="0.2">
      <c r="A2057" s="18"/>
      <c r="B2057" s="137"/>
    </row>
    <row r="2058" spans="1:2" ht="15" customHeight="1" x14ac:dyDescent="0.2">
      <c r="A2058" s="18"/>
      <c r="B2058" s="137"/>
    </row>
    <row r="2059" spans="1:2" ht="15" customHeight="1" x14ac:dyDescent="0.2">
      <c r="A2059" s="18"/>
      <c r="B2059" s="137"/>
    </row>
    <row r="2060" spans="1:2" ht="15" customHeight="1" x14ac:dyDescent="0.2">
      <c r="A2060" s="18"/>
      <c r="B2060" s="137"/>
    </row>
    <row r="2061" spans="1:2" ht="15" customHeight="1" x14ac:dyDescent="0.2">
      <c r="A2061" s="18"/>
      <c r="B2061" s="137"/>
    </row>
    <row r="2062" spans="1:2" ht="15" customHeight="1" x14ac:dyDescent="0.2">
      <c r="A2062" s="18"/>
      <c r="B2062" s="137"/>
    </row>
    <row r="2063" spans="1:2" ht="15" customHeight="1" x14ac:dyDescent="0.2">
      <c r="A2063" s="18"/>
      <c r="B2063" s="137"/>
    </row>
    <row r="2064" spans="1:2" ht="15" customHeight="1" x14ac:dyDescent="0.2">
      <c r="A2064" s="18"/>
      <c r="B2064" s="137"/>
    </row>
    <row r="2065" spans="1:2" ht="15" customHeight="1" x14ac:dyDescent="0.2">
      <c r="A2065" s="18"/>
      <c r="B2065" s="137"/>
    </row>
    <row r="2066" spans="1:2" ht="15" customHeight="1" x14ac:dyDescent="0.2">
      <c r="A2066" s="18"/>
      <c r="B2066" s="137"/>
    </row>
    <row r="2067" spans="1:2" ht="15" customHeight="1" x14ac:dyDescent="0.2">
      <c r="A2067" s="18"/>
      <c r="B2067" s="137"/>
    </row>
    <row r="2068" spans="1:2" ht="15" customHeight="1" x14ac:dyDescent="0.2">
      <c r="A2068" s="18"/>
      <c r="B2068" s="137"/>
    </row>
    <row r="2069" spans="1:2" ht="15" customHeight="1" x14ac:dyDescent="0.2">
      <c r="A2069" s="18"/>
      <c r="B2069" s="137"/>
    </row>
    <row r="2070" spans="1:2" ht="15" customHeight="1" x14ac:dyDescent="0.2">
      <c r="A2070" s="18"/>
      <c r="B2070" s="137"/>
    </row>
    <row r="2071" spans="1:2" ht="15" customHeight="1" x14ac:dyDescent="0.2">
      <c r="A2071" s="18"/>
      <c r="B2071" s="137"/>
    </row>
    <row r="2072" spans="1:2" ht="15" customHeight="1" x14ac:dyDescent="0.2">
      <c r="A2072" s="18"/>
      <c r="B2072" s="137"/>
    </row>
    <row r="2073" spans="1:2" ht="15" customHeight="1" x14ac:dyDescent="0.2">
      <c r="A2073" s="18"/>
      <c r="B2073" s="137"/>
    </row>
    <row r="2074" spans="1:2" ht="15" customHeight="1" x14ac:dyDescent="0.2">
      <c r="A2074" s="18"/>
      <c r="B2074" s="137"/>
    </row>
    <row r="2075" spans="1:2" ht="15" customHeight="1" x14ac:dyDescent="0.2">
      <c r="A2075" s="18"/>
      <c r="B2075" s="137"/>
    </row>
    <row r="2076" spans="1:2" ht="15" customHeight="1" x14ac:dyDescent="0.2">
      <c r="A2076" s="18"/>
      <c r="B2076" s="137"/>
    </row>
    <row r="2077" spans="1:2" ht="15" customHeight="1" x14ac:dyDescent="0.2">
      <c r="A2077" s="18"/>
      <c r="B2077" s="137"/>
    </row>
    <row r="2078" spans="1:2" ht="15" customHeight="1" x14ac:dyDescent="0.2">
      <c r="A2078" s="18"/>
      <c r="B2078" s="137"/>
    </row>
    <row r="2079" spans="1:2" ht="15" customHeight="1" x14ac:dyDescent="0.2">
      <c r="A2079" s="18"/>
      <c r="B2079" s="137"/>
    </row>
    <row r="2080" spans="1:2" ht="15" customHeight="1" x14ac:dyDescent="0.2">
      <c r="A2080" s="18"/>
      <c r="B2080" s="137"/>
    </row>
    <row r="2081" spans="1:2" ht="15" customHeight="1" x14ac:dyDescent="0.2">
      <c r="A2081" s="18"/>
      <c r="B2081" s="137"/>
    </row>
    <row r="2082" spans="1:2" ht="15" customHeight="1" x14ac:dyDescent="0.2">
      <c r="A2082" s="18"/>
      <c r="B2082" s="137"/>
    </row>
    <row r="2083" spans="1:2" ht="15" customHeight="1" x14ac:dyDescent="0.2">
      <c r="A2083" s="18"/>
      <c r="B2083" s="137"/>
    </row>
    <row r="2084" spans="1:2" ht="15" customHeight="1" x14ac:dyDescent="0.2">
      <c r="A2084" s="18"/>
      <c r="B2084" s="137"/>
    </row>
    <row r="2085" spans="1:2" ht="15" customHeight="1" x14ac:dyDescent="0.2">
      <c r="A2085" s="18"/>
      <c r="B2085" s="137"/>
    </row>
    <row r="2086" spans="1:2" ht="15" customHeight="1" x14ac:dyDescent="0.2">
      <c r="A2086" s="18"/>
      <c r="B2086" s="137"/>
    </row>
    <row r="2087" spans="1:2" ht="15" customHeight="1" x14ac:dyDescent="0.2">
      <c r="A2087" s="18"/>
      <c r="B2087" s="137"/>
    </row>
    <row r="2088" spans="1:2" ht="15" customHeight="1" x14ac:dyDescent="0.2">
      <c r="A2088" s="18"/>
      <c r="B2088" s="137"/>
    </row>
    <row r="2089" spans="1:2" ht="15" customHeight="1" x14ac:dyDescent="0.2">
      <c r="A2089" s="18"/>
      <c r="B2089" s="137"/>
    </row>
    <row r="2090" spans="1:2" ht="15" customHeight="1" x14ac:dyDescent="0.2">
      <c r="A2090" s="18"/>
      <c r="B2090" s="137"/>
    </row>
    <row r="2091" spans="1:2" ht="15" customHeight="1" x14ac:dyDescent="0.2">
      <c r="A2091" s="18"/>
      <c r="B2091" s="137"/>
    </row>
    <row r="2092" spans="1:2" ht="15" customHeight="1" x14ac:dyDescent="0.2">
      <c r="A2092" s="18"/>
      <c r="B2092" s="137"/>
    </row>
    <row r="2093" spans="1:2" ht="15" customHeight="1" x14ac:dyDescent="0.2">
      <c r="A2093" s="18"/>
      <c r="B2093" s="137"/>
    </row>
    <row r="2094" spans="1:2" ht="15" customHeight="1" x14ac:dyDescent="0.2">
      <c r="A2094" s="18"/>
      <c r="B2094" s="137"/>
    </row>
    <row r="2095" spans="1:2" ht="15" customHeight="1" x14ac:dyDescent="0.2">
      <c r="A2095" s="18"/>
      <c r="B2095" s="137"/>
    </row>
    <row r="2096" spans="1:2" ht="15" customHeight="1" x14ac:dyDescent="0.2">
      <c r="A2096" s="18"/>
      <c r="B2096" s="137"/>
    </row>
    <row r="2097" spans="1:2" ht="15" customHeight="1" x14ac:dyDescent="0.2">
      <c r="A2097" s="18"/>
      <c r="B2097" s="137"/>
    </row>
    <row r="2098" spans="1:2" ht="15" customHeight="1" x14ac:dyDescent="0.2">
      <c r="A2098" s="18"/>
      <c r="B2098" s="137"/>
    </row>
    <row r="2099" spans="1:2" ht="15" customHeight="1" x14ac:dyDescent="0.2">
      <c r="A2099" s="18"/>
      <c r="B2099" s="137"/>
    </row>
    <row r="2100" spans="1:2" ht="15" customHeight="1" x14ac:dyDescent="0.2">
      <c r="A2100" s="18"/>
      <c r="B2100" s="137"/>
    </row>
    <row r="2101" spans="1:2" ht="15" customHeight="1" x14ac:dyDescent="0.2">
      <c r="A2101" s="18"/>
      <c r="B2101" s="137"/>
    </row>
    <row r="2102" spans="1:2" ht="15" customHeight="1" x14ac:dyDescent="0.2">
      <c r="A2102" s="18"/>
      <c r="B2102" s="137"/>
    </row>
    <row r="2103" spans="1:2" ht="15" customHeight="1" x14ac:dyDescent="0.2">
      <c r="A2103" s="18"/>
      <c r="B2103" s="137"/>
    </row>
    <row r="2104" spans="1:2" ht="15" customHeight="1" x14ac:dyDescent="0.2">
      <c r="A2104" s="18"/>
      <c r="B2104" s="137"/>
    </row>
    <row r="2105" spans="1:2" ht="15" customHeight="1" x14ac:dyDescent="0.2">
      <c r="A2105" s="18"/>
      <c r="B2105" s="137"/>
    </row>
    <row r="2106" spans="1:2" ht="15" customHeight="1" x14ac:dyDescent="0.2">
      <c r="A2106" s="18"/>
      <c r="B2106" s="137"/>
    </row>
    <row r="2107" spans="1:2" ht="15" customHeight="1" x14ac:dyDescent="0.2">
      <c r="A2107" s="18"/>
      <c r="B2107" s="137"/>
    </row>
    <row r="2108" spans="1:2" ht="15" customHeight="1" x14ac:dyDescent="0.2">
      <c r="A2108" s="18"/>
      <c r="B2108" s="137"/>
    </row>
    <row r="2109" spans="1:2" ht="15" customHeight="1" x14ac:dyDescent="0.2">
      <c r="A2109" s="18"/>
      <c r="B2109" s="137"/>
    </row>
    <row r="2110" spans="1:2" ht="15" customHeight="1" x14ac:dyDescent="0.2">
      <c r="A2110" s="18"/>
      <c r="B2110" s="137"/>
    </row>
    <row r="2111" spans="1:2" ht="15" customHeight="1" x14ac:dyDescent="0.2">
      <c r="A2111" s="18"/>
      <c r="B2111" s="137"/>
    </row>
    <row r="2112" spans="1:2" ht="15" customHeight="1" x14ac:dyDescent="0.2">
      <c r="A2112" s="18"/>
      <c r="B2112" s="137"/>
    </row>
    <row r="2113" spans="1:2" ht="15" customHeight="1" x14ac:dyDescent="0.2">
      <c r="A2113" s="18"/>
      <c r="B2113" s="137"/>
    </row>
    <row r="2114" spans="1:2" ht="15" customHeight="1" x14ac:dyDescent="0.2">
      <c r="A2114" s="18"/>
      <c r="B2114" s="137"/>
    </row>
    <row r="2115" spans="1:2" ht="15" customHeight="1" x14ac:dyDescent="0.2">
      <c r="A2115" s="18"/>
      <c r="B2115" s="137"/>
    </row>
    <row r="2116" spans="1:2" ht="15" customHeight="1" x14ac:dyDescent="0.2">
      <c r="A2116" s="18"/>
      <c r="B2116" s="137"/>
    </row>
    <row r="2117" spans="1:2" ht="15" customHeight="1" x14ac:dyDescent="0.2">
      <c r="A2117" s="18"/>
      <c r="B2117" s="137"/>
    </row>
    <row r="2118" spans="1:2" ht="15" customHeight="1" x14ac:dyDescent="0.2">
      <c r="A2118" s="18"/>
      <c r="B2118" s="137"/>
    </row>
    <row r="2119" spans="1:2" ht="15" customHeight="1" x14ac:dyDescent="0.2">
      <c r="A2119" s="18"/>
      <c r="B2119" s="137"/>
    </row>
    <row r="2120" spans="1:2" ht="15" customHeight="1" x14ac:dyDescent="0.2">
      <c r="A2120" s="18"/>
      <c r="B2120" s="137"/>
    </row>
    <row r="2121" spans="1:2" ht="15" customHeight="1" x14ac:dyDescent="0.2">
      <c r="A2121" s="18"/>
      <c r="B2121" s="137"/>
    </row>
    <row r="2122" spans="1:2" ht="15" customHeight="1" x14ac:dyDescent="0.2">
      <c r="A2122" s="18"/>
      <c r="B2122" s="137"/>
    </row>
    <row r="2123" spans="1:2" ht="15" customHeight="1" x14ac:dyDescent="0.2">
      <c r="A2123" s="18"/>
      <c r="B2123" s="137"/>
    </row>
    <row r="2124" spans="1:2" ht="15" customHeight="1" x14ac:dyDescent="0.2">
      <c r="A2124" s="18"/>
      <c r="B2124" s="137"/>
    </row>
    <row r="2125" spans="1:2" ht="15" customHeight="1" x14ac:dyDescent="0.2">
      <c r="A2125" s="18"/>
      <c r="B2125" s="137"/>
    </row>
    <row r="2126" spans="1:2" ht="15" customHeight="1" x14ac:dyDescent="0.2">
      <c r="A2126" s="18"/>
      <c r="B2126" s="137"/>
    </row>
    <row r="2127" spans="1:2" ht="15" customHeight="1" x14ac:dyDescent="0.2">
      <c r="A2127" s="18"/>
      <c r="B2127" s="137"/>
    </row>
    <row r="2128" spans="1:2" ht="15" customHeight="1" x14ac:dyDescent="0.2">
      <c r="A2128" s="18"/>
      <c r="B2128" s="137"/>
    </row>
    <row r="2129" spans="1:2" ht="15" customHeight="1" x14ac:dyDescent="0.2">
      <c r="A2129" s="18"/>
      <c r="B2129" s="137"/>
    </row>
    <row r="2130" spans="1:2" ht="15" customHeight="1" x14ac:dyDescent="0.2">
      <c r="A2130" s="18"/>
      <c r="B2130" s="137"/>
    </row>
    <row r="2131" spans="1:2" ht="15" customHeight="1" x14ac:dyDescent="0.2">
      <c r="A2131" s="18"/>
      <c r="B2131" s="137"/>
    </row>
    <row r="2132" spans="1:2" ht="15" customHeight="1" x14ac:dyDescent="0.2">
      <c r="A2132" s="18"/>
      <c r="B2132" s="137"/>
    </row>
    <row r="2133" spans="1:2" ht="15" customHeight="1" x14ac:dyDescent="0.2">
      <c r="A2133" s="18"/>
      <c r="B2133" s="137"/>
    </row>
    <row r="2134" spans="1:2" ht="15" customHeight="1" x14ac:dyDescent="0.2">
      <c r="A2134" s="18"/>
      <c r="B2134" s="137"/>
    </row>
    <row r="2135" spans="1:2" ht="15" customHeight="1" x14ac:dyDescent="0.2">
      <c r="A2135" s="18"/>
      <c r="B2135" s="137"/>
    </row>
    <row r="2136" spans="1:2" ht="15" customHeight="1" x14ac:dyDescent="0.2">
      <c r="A2136" s="18"/>
      <c r="B2136" s="137"/>
    </row>
    <row r="2137" spans="1:2" ht="15" customHeight="1" x14ac:dyDescent="0.2">
      <c r="A2137" s="18"/>
      <c r="B2137" s="137"/>
    </row>
    <row r="2138" spans="1:2" ht="15" customHeight="1" x14ac:dyDescent="0.2">
      <c r="A2138" s="18"/>
      <c r="B2138" s="137"/>
    </row>
    <row r="2139" spans="1:2" ht="15" customHeight="1" x14ac:dyDescent="0.2">
      <c r="A2139" s="18"/>
      <c r="B2139" s="137"/>
    </row>
    <row r="2140" spans="1:2" ht="15" customHeight="1" x14ac:dyDescent="0.2">
      <c r="A2140" s="18"/>
      <c r="B2140" s="137"/>
    </row>
    <row r="2141" spans="1:2" ht="15" customHeight="1" x14ac:dyDescent="0.2">
      <c r="A2141" s="18"/>
      <c r="B2141" s="137"/>
    </row>
    <row r="2142" spans="1:2" ht="15" customHeight="1" x14ac:dyDescent="0.2">
      <c r="A2142" s="18"/>
      <c r="B2142" s="137"/>
    </row>
    <row r="2143" spans="1:2" ht="15" customHeight="1" x14ac:dyDescent="0.2">
      <c r="A2143" s="18"/>
      <c r="B2143" s="137"/>
    </row>
    <row r="2144" spans="1:2" ht="15" customHeight="1" x14ac:dyDescent="0.2">
      <c r="A2144" s="18"/>
      <c r="B2144" s="137"/>
    </row>
    <row r="2145" spans="1:2" ht="15" customHeight="1" x14ac:dyDescent="0.2">
      <c r="A2145" s="18"/>
      <c r="B2145" s="137"/>
    </row>
    <row r="2146" spans="1:2" ht="15" customHeight="1" x14ac:dyDescent="0.2">
      <c r="A2146" s="18"/>
      <c r="B2146" s="137"/>
    </row>
    <row r="2147" spans="1:2" ht="15" customHeight="1" x14ac:dyDescent="0.2">
      <c r="A2147" s="18"/>
      <c r="B2147" s="137"/>
    </row>
    <row r="2148" spans="1:2" ht="15" customHeight="1" x14ac:dyDescent="0.2">
      <c r="A2148" s="18"/>
      <c r="B2148" s="137"/>
    </row>
    <row r="2149" spans="1:2" ht="15" customHeight="1" x14ac:dyDescent="0.2">
      <c r="A2149" s="18"/>
      <c r="B2149" s="137"/>
    </row>
    <row r="2150" spans="1:2" ht="15" customHeight="1" x14ac:dyDescent="0.2">
      <c r="A2150" s="18"/>
      <c r="B2150" s="137"/>
    </row>
    <row r="2151" spans="1:2" ht="15" customHeight="1" x14ac:dyDescent="0.2">
      <c r="A2151" s="18"/>
      <c r="B2151" s="137"/>
    </row>
    <row r="2152" spans="1:2" ht="15" customHeight="1" x14ac:dyDescent="0.2">
      <c r="A2152" s="18"/>
      <c r="B2152" s="137"/>
    </row>
    <row r="2153" spans="1:2" ht="15" customHeight="1" x14ac:dyDescent="0.2">
      <c r="A2153" s="18"/>
      <c r="B2153" s="137"/>
    </row>
    <row r="2154" spans="1:2" ht="15" customHeight="1" x14ac:dyDescent="0.2">
      <c r="A2154" s="18"/>
      <c r="B2154" s="137"/>
    </row>
    <row r="2155" spans="1:2" ht="15" customHeight="1" x14ac:dyDescent="0.2">
      <c r="A2155" s="18"/>
      <c r="B2155" s="137"/>
    </row>
    <row r="2156" spans="1:2" ht="15" customHeight="1" x14ac:dyDescent="0.2">
      <c r="A2156" s="18"/>
      <c r="B2156" s="137"/>
    </row>
    <row r="2157" spans="1:2" ht="15" customHeight="1" x14ac:dyDescent="0.2">
      <c r="A2157" s="18"/>
      <c r="B2157" s="137"/>
    </row>
    <row r="2158" spans="1:2" ht="15" customHeight="1" x14ac:dyDescent="0.2">
      <c r="A2158" s="18"/>
      <c r="B2158" s="137"/>
    </row>
    <row r="2159" spans="1:2" ht="15" customHeight="1" x14ac:dyDescent="0.2">
      <c r="A2159" s="18"/>
      <c r="B2159" s="137"/>
    </row>
    <row r="2160" spans="1:2" ht="15" customHeight="1" x14ac:dyDescent="0.2">
      <c r="A2160" s="18"/>
      <c r="B2160" s="137"/>
    </row>
    <row r="2161" spans="1:2" ht="15" customHeight="1" x14ac:dyDescent="0.2">
      <c r="A2161" s="18"/>
      <c r="B2161" s="137"/>
    </row>
    <row r="2162" spans="1:2" ht="15" customHeight="1" x14ac:dyDescent="0.2">
      <c r="A2162" s="18"/>
      <c r="B2162" s="137"/>
    </row>
    <row r="2163" spans="1:2" ht="15" customHeight="1" x14ac:dyDescent="0.2">
      <c r="A2163" s="18"/>
      <c r="B2163" s="137"/>
    </row>
    <row r="2164" spans="1:2" ht="15" customHeight="1" x14ac:dyDescent="0.2">
      <c r="A2164" s="18"/>
      <c r="B2164" s="137"/>
    </row>
    <row r="2165" spans="1:2" ht="15" customHeight="1" x14ac:dyDescent="0.2">
      <c r="A2165" s="18"/>
      <c r="B2165" s="137"/>
    </row>
    <row r="2166" spans="1:2" ht="15" customHeight="1" x14ac:dyDescent="0.2">
      <c r="A2166" s="18"/>
      <c r="B2166" s="137"/>
    </row>
    <row r="2167" spans="1:2" ht="15" customHeight="1" x14ac:dyDescent="0.2">
      <c r="A2167" s="18"/>
      <c r="B2167" s="137"/>
    </row>
    <row r="2168" spans="1:2" ht="15" customHeight="1" x14ac:dyDescent="0.2">
      <c r="A2168" s="18"/>
      <c r="B2168" s="137"/>
    </row>
    <row r="2169" spans="1:2" ht="15" customHeight="1" x14ac:dyDescent="0.2">
      <c r="A2169" s="18"/>
      <c r="B2169" s="137"/>
    </row>
    <row r="2170" spans="1:2" ht="15" customHeight="1" x14ac:dyDescent="0.2">
      <c r="A2170" s="18"/>
      <c r="B2170" s="137"/>
    </row>
    <row r="2171" spans="1:2" ht="15" customHeight="1" x14ac:dyDescent="0.2">
      <c r="A2171" s="18"/>
      <c r="B2171" s="137"/>
    </row>
    <row r="2172" spans="1:2" ht="15" customHeight="1" x14ac:dyDescent="0.2">
      <c r="A2172" s="18"/>
      <c r="B2172" s="137"/>
    </row>
    <row r="2173" spans="1:2" ht="15" customHeight="1" x14ac:dyDescent="0.2">
      <c r="A2173" s="18"/>
      <c r="B2173" s="137"/>
    </row>
    <row r="2174" spans="1:2" ht="15" customHeight="1" x14ac:dyDescent="0.2">
      <c r="A2174" s="18"/>
      <c r="B2174" s="137"/>
    </row>
    <row r="2175" spans="1:2" ht="15" customHeight="1" x14ac:dyDescent="0.2">
      <c r="A2175" s="18"/>
      <c r="B2175" s="137"/>
    </row>
    <row r="2176" spans="1:2" ht="15" customHeight="1" x14ac:dyDescent="0.2">
      <c r="A2176" s="18"/>
      <c r="B2176" s="137"/>
    </row>
    <row r="2177" spans="1:2" ht="15" customHeight="1" x14ac:dyDescent="0.2">
      <c r="A2177" s="18"/>
      <c r="B2177" s="137"/>
    </row>
    <row r="2178" spans="1:2" ht="15" customHeight="1" x14ac:dyDescent="0.2">
      <c r="A2178" s="18"/>
      <c r="B2178" s="137"/>
    </row>
    <row r="2179" spans="1:2" ht="15" customHeight="1" x14ac:dyDescent="0.2">
      <c r="A2179" s="18"/>
      <c r="B2179" s="137"/>
    </row>
    <row r="2180" spans="1:2" ht="15" customHeight="1" x14ac:dyDescent="0.2">
      <c r="A2180" s="18"/>
      <c r="B2180" s="137"/>
    </row>
    <row r="2181" spans="1:2" ht="15" customHeight="1" x14ac:dyDescent="0.2">
      <c r="A2181" s="18"/>
      <c r="B2181" s="137"/>
    </row>
    <row r="2182" spans="1:2" ht="15" customHeight="1" x14ac:dyDescent="0.2">
      <c r="A2182" s="18"/>
      <c r="B2182" s="137"/>
    </row>
    <row r="2183" spans="1:2" ht="15" customHeight="1" x14ac:dyDescent="0.2">
      <c r="A2183" s="18"/>
      <c r="B2183" s="137"/>
    </row>
    <row r="2184" spans="1:2" ht="15" customHeight="1" x14ac:dyDescent="0.2">
      <c r="A2184" s="18"/>
      <c r="B2184" s="137"/>
    </row>
    <row r="2185" spans="1:2" ht="15" customHeight="1" x14ac:dyDescent="0.2">
      <c r="A2185" s="18"/>
      <c r="B2185" s="137"/>
    </row>
    <row r="2186" spans="1:2" ht="15" customHeight="1" x14ac:dyDescent="0.2">
      <c r="A2186" s="18"/>
      <c r="B2186" s="137"/>
    </row>
    <row r="2187" spans="1:2" ht="15" customHeight="1" x14ac:dyDescent="0.2">
      <c r="A2187" s="18"/>
      <c r="B2187" s="137"/>
    </row>
    <row r="2188" spans="1:2" ht="15" customHeight="1" x14ac:dyDescent="0.2">
      <c r="A2188" s="18"/>
      <c r="B2188" s="137"/>
    </row>
    <row r="2189" spans="1:2" ht="15" customHeight="1" x14ac:dyDescent="0.2">
      <c r="A2189" s="18"/>
      <c r="B2189" s="137"/>
    </row>
    <row r="2190" spans="1:2" ht="15" customHeight="1" x14ac:dyDescent="0.2">
      <c r="A2190" s="18"/>
      <c r="B2190" s="137"/>
    </row>
    <row r="2191" spans="1:2" ht="15" customHeight="1" x14ac:dyDescent="0.2">
      <c r="A2191" s="18"/>
      <c r="B2191" s="137"/>
    </row>
    <row r="2192" spans="1:2" ht="15" customHeight="1" x14ac:dyDescent="0.2">
      <c r="A2192" s="18"/>
      <c r="B2192" s="137"/>
    </row>
    <row r="2193" spans="1:2" ht="15" customHeight="1" x14ac:dyDescent="0.2">
      <c r="A2193" s="18"/>
      <c r="B2193" s="137"/>
    </row>
    <row r="2194" spans="1:2" ht="15" customHeight="1" x14ac:dyDescent="0.2">
      <c r="A2194" s="18"/>
      <c r="B2194" s="137"/>
    </row>
    <row r="2195" spans="1:2" ht="15" customHeight="1" x14ac:dyDescent="0.2">
      <c r="A2195" s="18"/>
      <c r="B2195" s="137"/>
    </row>
    <row r="2196" spans="1:2" ht="15" customHeight="1" x14ac:dyDescent="0.2">
      <c r="A2196" s="18"/>
      <c r="B2196" s="137"/>
    </row>
    <row r="2197" spans="1:2" ht="15" customHeight="1" x14ac:dyDescent="0.2">
      <c r="A2197" s="18"/>
      <c r="B2197" s="137"/>
    </row>
    <row r="2198" spans="1:2" ht="15" customHeight="1" x14ac:dyDescent="0.2">
      <c r="A2198" s="18"/>
      <c r="B2198" s="137"/>
    </row>
    <row r="2199" spans="1:2" ht="15" customHeight="1" x14ac:dyDescent="0.2">
      <c r="A2199" s="18"/>
      <c r="B2199" s="137"/>
    </row>
    <row r="2200" spans="1:2" ht="15" customHeight="1" x14ac:dyDescent="0.2">
      <c r="A2200" s="18"/>
      <c r="B2200" s="137"/>
    </row>
    <row r="2201" spans="1:2" ht="15" customHeight="1" x14ac:dyDescent="0.2">
      <c r="A2201" s="18"/>
      <c r="B2201" s="137"/>
    </row>
    <row r="2202" spans="1:2" ht="15" customHeight="1" x14ac:dyDescent="0.2">
      <c r="A2202" s="18"/>
      <c r="B2202" s="137"/>
    </row>
    <row r="2203" spans="1:2" ht="15" customHeight="1" x14ac:dyDescent="0.2">
      <c r="A2203" s="18"/>
      <c r="B2203" s="137"/>
    </row>
    <row r="2204" spans="1:2" ht="15" customHeight="1" x14ac:dyDescent="0.2">
      <c r="A2204" s="18"/>
      <c r="B2204" s="137"/>
    </row>
    <row r="2205" spans="1:2" ht="15" customHeight="1" x14ac:dyDescent="0.2">
      <c r="A2205" s="18"/>
      <c r="B2205" s="137"/>
    </row>
    <row r="2206" spans="1:2" ht="15" customHeight="1" x14ac:dyDescent="0.2">
      <c r="A2206" s="18"/>
      <c r="B2206" s="137"/>
    </row>
    <row r="2207" spans="1:2" ht="15" customHeight="1" x14ac:dyDescent="0.2">
      <c r="A2207" s="18"/>
      <c r="B2207" s="137"/>
    </row>
    <row r="2208" spans="1:2" ht="15" customHeight="1" x14ac:dyDescent="0.2">
      <c r="A2208" s="18"/>
      <c r="B2208" s="137"/>
    </row>
    <row r="2209" spans="1:2" ht="15" customHeight="1" x14ac:dyDescent="0.2">
      <c r="A2209" s="18"/>
      <c r="B2209" s="137"/>
    </row>
    <row r="2210" spans="1:2" ht="15" customHeight="1" x14ac:dyDescent="0.2">
      <c r="A2210" s="18"/>
      <c r="B2210" s="137"/>
    </row>
    <row r="2211" spans="1:2" ht="15" customHeight="1" x14ac:dyDescent="0.2">
      <c r="A2211" s="18"/>
      <c r="B2211" s="137"/>
    </row>
    <row r="2212" spans="1:2" ht="15" customHeight="1" x14ac:dyDescent="0.2">
      <c r="A2212" s="18"/>
      <c r="B2212" s="137"/>
    </row>
    <row r="2213" spans="1:2" ht="15" customHeight="1" x14ac:dyDescent="0.2">
      <c r="A2213" s="18"/>
      <c r="B2213" s="137"/>
    </row>
    <row r="2214" spans="1:2" ht="15" customHeight="1" x14ac:dyDescent="0.2">
      <c r="A2214" s="18"/>
      <c r="B2214" s="137"/>
    </row>
    <row r="2215" spans="1:2" ht="15" customHeight="1" x14ac:dyDescent="0.2">
      <c r="A2215" s="18"/>
      <c r="B2215" s="137"/>
    </row>
    <row r="2216" spans="1:2" ht="15" customHeight="1" x14ac:dyDescent="0.2">
      <c r="A2216" s="18"/>
      <c r="B2216" s="137"/>
    </row>
    <row r="2217" spans="1:2" ht="15" customHeight="1" x14ac:dyDescent="0.2">
      <c r="A2217" s="18"/>
      <c r="B2217" s="137"/>
    </row>
    <row r="2218" spans="1:2" ht="15" customHeight="1" x14ac:dyDescent="0.2">
      <c r="A2218" s="18"/>
      <c r="B2218" s="137"/>
    </row>
    <row r="2219" spans="1:2" ht="15" customHeight="1" x14ac:dyDescent="0.2">
      <c r="A2219" s="18"/>
      <c r="B2219" s="137"/>
    </row>
    <row r="2220" spans="1:2" ht="15" customHeight="1" x14ac:dyDescent="0.2">
      <c r="A2220" s="18"/>
      <c r="B2220" s="137"/>
    </row>
    <row r="2221" spans="1:2" ht="15" customHeight="1" x14ac:dyDescent="0.2">
      <c r="A2221" s="18"/>
      <c r="B2221" s="137"/>
    </row>
    <row r="2222" spans="1:2" ht="15" customHeight="1" x14ac:dyDescent="0.2">
      <c r="A2222" s="18"/>
      <c r="B2222" s="137"/>
    </row>
    <row r="2223" spans="1:2" ht="15" customHeight="1" x14ac:dyDescent="0.2">
      <c r="A2223" s="18"/>
      <c r="B2223" s="137"/>
    </row>
    <row r="2224" spans="1:2" ht="15" customHeight="1" x14ac:dyDescent="0.2">
      <c r="A2224" s="18"/>
      <c r="B2224" s="137"/>
    </row>
    <row r="2225" spans="1:2" ht="15" customHeight="1" x14ac:dyDescent="0.2">
      <c r="A2225" s="18"/>
      <c r="B2225" s="137"/>
    </row>
    <row r="2226" spans="1:2" ht="15" customHeight="1" x14ac:dyDescent="0.2">
      <c r="A2226" s="18"/>
      <c r="B2226" s="137"/>
    </row>
    <row r="2227" spans="1:2" ht="15" customHeight="1" x14ac:dyDescent="0.2">
      <c r="A2227" s="18"/>
      <c r="B2227" s="137"/>
    </row>
    <row r="2228" spans="1:2" ht="15" customHeight="1" x14ac:dyDescent="0.2">
      <c r="A2228" s="18"/>
      <c r="B2228" s="137"/>
    </row>
    <row r="2229" spans="1:2" ht="15" customHeight="1" x14ac:dyDescent="0.2">
      <c r="A2229" s="18"/>
      <c r="B2229" s="137"/>
    </row>
    <row r="2230" spans="1:2" ht="15" customHeight="1" x14ac:dyDescent="0.2">
      <c r="A2230" s="18"/>
      <c r="B2230" s="137"/>
    </row>
    <row r="2231" spans="1:2" ht="15" customHeight="1" x14ac:dyDescent="0.2">
      <c r="A2231" s="18"/>
      <c r="B2231" s="137"/>
    </row>
    <row r="2232" spans="1:2" ht="15" customHeight="1" x14ac:dyDescent="0.2">
      <c r="A2232" s="18"/>
      <c r="B2232" s="137"/>
    </row>
    <row r="2233" spans="1:2" ht="15" customHeight="1" x14ac:dyDescent="0.2">
      <c r="A2233" s="18"/>
      <c r="B2233" s="137"/>
    </row>
    <row r="2234" spans="1:2" ht="15" customHeight="1" x14ac:dyDescent="0.2">
      <c r="A2234" s="18"/>
      <c r="B2234" s="137"/>
    </row>
    <row r="2235" spans="1:2" ht="15" customHeight="1" x14ac:dyDescent="0.2">
      <c r="A2235" s="18"/>
      <c r="B2235" s="137"/>
    </row>
    <row r="2236" spans="1:2" ht="15" customHeight="1" x14ac:dyDescent="0.2">
      <c r="A2236" s="18"/>
      <c r="B2236" s="137"/>
    </row>
    <row r="2237" spans="1:2" ht="15" customHeight="1" x14ac:dyDescent="0.2">
      <c r="A2237" s="18"/>
      <c r="B2237" s="137"/>
    </row>
    <row r="2238" spans="1:2" ht="15" customHeight="1" x14ac:dyDescent="0.2">
      <c r="A2238" s="18"/>
      <c r="B2238" s="137"/>
    </row>
    <row r="2239" spans="1:2" ht="15" customHeight="1" x14ac:dyDescent="0.2">
      <c r="A2239" s="18"/>
      <c r="B2239" s="137"/>
    </row>
    <row r="2240" spans="1:2" ht="15" customHeight="1" x14ac:dyDescent="0.2">
      <c r="A2240" s="18"/>
      <c r="B2240" s="137"/>
    </row>
    <row r="2241" spans="1:2" ht="15" customHeight="1" x14ac:dyDescent="0.2">
      <c r="A2241" s="18"/>
      <c r="B2241" s="137"/>
    </row>
    <row r="2242" spans="1:2" ht="15" customHeight="1" x14ac:dyDescent="0.2">
      <c r="A2242" s="18"/>
      <c r="B2242" s="137"/>
    </row>
    <row r="2243" spans="1:2" ht="15" customHeight="1" x14ac:dyDescent="0.2">
      <c r="A2243" s="18"/>
      <c r="B2243" s="137"/>
    </row>
    <row r="2244" spans="1:2" ht="15" customHeight="1" x14ac:dyDescent="0.2">
      <c r="A2244" s="18"/>
      <c r="B2244" s="137"/>
    </row>
    <row r="2245" spans="1:2" ht="15" customHeight="1" x14ac:dyDescent="0.2">
      <c r="A2245" s="18"/>
      <c r="B2245" s="137"/>
    </row>
    <row r="2246" spans="1:2" ht="15" customHeight="1" x14ac:dyDescent="0.2">
      <c r="A2246" s="18"/>
      <c r="B2246" s="137"/>
    </row>
    <row r="2247" spans="1:2" ht="15" customHeight="1" x14ac:dyDescent="0.2">
      <c r="A2247" s="18"/>
      <c r="B2247" s="137"/>
    </row>
    <row r="2248" spans="1:2" ht="15" customHeight="1" x14ac:dyDescent="0.2">
      <c r="A2248" s="18"/>
      <c r="B2248" s="137"/>
    </row>
    <row r="2249" spans="1:2" ht="15" customHeight="1" x14ac:dyDescent="0.2">
      <c r="A2249" s="18"/>
      <c r="B2249" s="137"/>
    </row>
    <row r="2250" spans="1:2" ht="15" customHeight="1" x14ac:dyDescent="0.2">
      <c r="A2250" s="18"/>
      <c r="B2250" s="137"/>
    </row>
    <row r="2251" spans="1:2" ht="15" customHeight="1" x14ac:dyDescent="0.2">
      <c r="A2251" s="18"/>
      <c r="B2251" s="137"/>
    </row>
    <row r="2252" spans="1:2" ht="15" customHeight="1" x14ac:dyDescent="0.2">
      <c r="A2252" s="18"/>
      <c r="B2252" s="137"/>
    </row>
    <row r="2253" spans="1:2" ht="15" customHeight="1" x14ac:dyDescent="0.2">
      <c r="A2253" s="18"/>
      <c r="B2253" s="137"/>
    </row>
    <row r="2254" spans="1:2" ht="15" customHeight="1" x14ac:dyDescent="0.2">
      <c r="A2254" s="18"/>
      <c r="B2254" s="137"/>
    </row>
    <row r="2255" spans="1:2" ht="15" customHeight="1" x14ac:dyDescent="0.2">
      <c r="A2255" s="18"/>
      <c r="B2255" s="137"/>
    </row>
    <row r="2256" spans="1:2" ht="15" customHeight="1" x14ac:dyDescent="0.2">
      <c r="A2256" s="18"/>
      <c r="B2256" s="137"/>
    </row>
    <row r="2257" spans="1:2" ht="15" customHeight="1" x14ac:dyDescent="0.2">
      <c r="A2257" s="18"/>
      <c r="B2257" s="137"/>
    </row>
    <row r="2258" spans="1:2" ht="15" customHeight="1" x14ac:dyDescent="0.2">
      <c r="A2258" s="18"/>
      <c r="B2258" s="137"/>
    </row>
    <row r="2259" spans="1:2" ht="15" customHeight="1" x14ac:dyDescent="0.2">
      <c r="A2259" s="18"/>
      <c r="B2259" s="137"/>
    </row>
    <row r="2260" spans="1:2" ht="15" customHeight="1" x14ac:dyDescent="0.2">
      <c r="A2260" s="18"/>
      <c r="B2260" s="137"/>
    </row>
    <row r="2261" spans="1:2" ht="15" customHeight="1" x14ac:dyDescent="0.2">
      <c r="A2261" s="18"/>
      <c r="B2261" s="137"/>
    </row>
    <row r="2262" spans="1:2" ht="15" customHeight="1" x14ac:dyDescent="0.2">
      <c r="A2262" s="18"/>
      <c r="B2262" s="137"/>
    </row>
    <row r="2263" spans="1:2" ht="15" customHeight="1" x14ac:dyDescent="0.2">
      <c r="A2263" s="18"/>
      <c r="B2263" s="137"/>
    </row>
    <row r="2264" spans="1:2" ht="15" customHeight="1" x14ac:dyDescent="0.2">
      <c r="A2264" s="18"/>
      <c r="B2264" s="137"/>
    </row>
    <row r="2265" spans="1:2" ht="15" customHeight="1" x14ac:dyDescent="0.2">
      <c r="A2265" s="18"/>
      <c r="B2265" s="137"/>
    </row>
    <row r="2266" spans="1:2" ht="15" customHeight="1" x14ac:dyDescent="0.2">
      <c r="A2266" s="18"/>
      <c r="B2266" s="137"/>
    </row>
    <row r="2267" spans="1:2" ht="15" customHeight="1" x14ac:dyDescent="0.2">
      <c r="A2267" s="18"/>
      <c r="B2267" s="137"/>
    </row>
    <row r="2268" spans="1:2" ht="15" customHeight="1" x14ac:dyDescent="0.2">
      <c r="A2268" s="18"/>
      <c r="B2268" s="137"/>
    </row>
    <row r="2269" spans="1:2" ht="15" customHeight="1" x14ac:dyDescent="0.2">
      <c r="A2269" s="18"/>
      <c r="B2269" s="137"/>
    </row>
    <row r="2270" spans="1:2" ht="15" customHeight="1" x14ac:dyDescent="0.2">
      <c r="A2270" s="18"/>
      <c r="B2270" s="137"/>
    </row>
    <row r="2271" spans="1:2" ht="15" customHeight="1" x14ac:dyDescent="0.2">
      <c r="A2271" s="18"/>
      <c r="B2271" s="137"/>
    </row>
    <row r="2272" spans="1:2" ht="15" customHeight="1" x14ac:dyDescent="0.2">
      <c r="A2272" s="18"/>
      <c r="B2272" s="137"/>
    </row>
    <row r="2273" spans="1:2" ht="15" customHeight="1" x14ac:dyDescent="0.2">
      <c r="A2273" s="18"/>
      <c r="B2273" s="137"/>
    </row>
    <row r="2274" spans="1:2" ht="15" customHeight="1" x14ac:dyDescent="0.2">
      <c r="A2274" s="18"/>
      <c r="B2274" s="137"/>
    </row>
    <row r="2275" spans="1:2" ht="15" customHeight="1" x14ac:dyDescent="0.2">
      <c r="A2275" s="18"/>
      <c r="B2275" s="137"/>
    </row>
    <row r="2276" spans="1:2" ht="15" customHeight="1" x14ac:dyDescent="0.2">
      <c r="A2276" s="18"/>
      <c r="B2276" s="137"/>
    </row>
    <row r="2277" spans="1:2" ht="15" customHeight="1" x14ac:dyDescent="0.2">
      <c r="A2277" s="18"/>
      <c r="B2277" s="137"/>
    </row>
    <row r="2278" spans="1:2" ht="15" customHeight="1" x14ac:dyDescent="0.2">
      <c r="A2278" s="18"/>
      <c r="B2278" s="137"/>
    </row>
    <row r="2279" spans="1:2" ht="15" customHeight="1" x14ac:dyDescent="0.2">
      <c r="A2279" s="18"/>
      <c r="B2279" s="137"/>
    </row>
    <row r="2280" spans="1:2" ht="15" customHeight="1" x14ac:dyDescent="0.2">
      <c r="A2280" s="18"/>
      <c r="B2280" s="137"/>
    </row>
    <row r="2281" spans="1:2" ht="15" customHeight="1" x14ac:dyDescent="0.2">
      <c r="A2281" s="18"/>
      <c r="B2281" s="137"/>
    </row>
    <row r="2282" spans="1:2" ht="15" customHeight="1" x14ac:dyDescent="0.2">
      <c r="A2282" s="18"/>
      <c r="B2282" s="137"/>
    </row>
    <row r="2283" spans="1:2" ht="15" customHeight="1" x14ac:dyDescent="0.2">
      <c r="A2283" s="18"/>
      <c r="B2283" s="137"/>
    </row>
    <row r="2284" spans="1:2" ht="15" customHeight="1" x14ac:dyDescent="0.2">
      <c r="A2284" s="18"/>
      <c r="B2284" s="137"/>
    </row>
    <row r="2285" spans="1:2" ht="15" customHeight="1" x14ac:dyDescent="0.2">
      <c r="A2285" s="18"/>
      <c r="B2285" s="137"/>
    </row>
    <row r="2286" spans="1:2" ht="15" customHeight="1" x14ac:dyDescent="0.2">
      <c r="A2286" s="18"/>
      <c r="B2286" s="137"/>
    </row>
    <row r="2287" spans="1:2" ht="15" customHeight="1" x14ac:dyDescent="0.2">
      <c r="A2287" s="18"/>
      <c r="B2287" s="137"/>
    </row>
    <row r="2288" spans="1:2" ht="15" customHeight="1" x14ac:dyDescent="0.2">
      <c r="A2288" s="18"/>
      <c r="B2288" s="137"/>
    </row>
    <row r="2289" spans="1:2" ht="15" customHeight="1" x14ac:dyDescent="0.2">
      <c r="A2289" s="18"/>
      <c r="B2289" s="137"/>
    </row>
    <row r="2290" spans="1:2" ht="15" customHeight="1" x14ac:dyDescent="0.2">
      <c r="A2290" s="18"/>
      <c r="B2290" s="137"/>
    </row>
    <row r="2291" spans="1:2" ht="15" customHeight="1" x14ac:dyDescent="0.2">
      <c r="A2291" s="18"/>
      <c r="B2291" s="137"/>
    </row>
    <row r="2292" spans="1:2" ht="15" customHeight="1" x14ac:dyDescent="0.2">
      <c r="A2292" s="18"/>
      <c r="B2292" s="137"/>
    </row>
    <row r="2293" spans="1:2" ht="15" customHeight="1" x14ac:dyDescent="0.2">
      <c r="A2293" s="18"/>
      <c r="B2293" s="137"/>
    </row>
    <row r="2294" spans="1:2" ht="15" customHeight="1" x14ac:dyDescent="0.2">
      <c r="A2294" s="18"/>
      <c r="B2294" s="137"/>
    </row>
    <row r="2295" spans="1:2" ht="15" customHeight="1" x14ac:dyDescent="0.2">
      <c r="A2295" s="18"/>
      <c r="B2295" s="137"/>
    </row>
    <row r="2296" spans="1:2" ht="15" customHeight="1" x14ac:dyDescent="0.2">
      <c r="A2296" s="18"/>
      <c r="B2296" s="137"/>
    </row>
    <row r="2297" spans="1:2" ht="15" customHeight="1" x14ac:dyDescent="0.2">
      <c r="A2297" s="18"/>
      <c r="B2297" s="137"/>
    </row>
    <row r="2298" spans="1:2" ht="15" customHeight="1" x14ac:dyDescent="0.2">
      <c r="A2298" s="18"/>
      <c r="B2298" s="137"/>
    </row>
    <row r="2299" spans="1:2" ht="15" customHeight="1" x14ac:dyDescent="0.2">
      <c r="A2299" s="18"/>
      <c r="B2299" s="137"/>
    </row>
    <row r="2300" spans="1:2" ht="15" customHeight="1" x14ac:dyDescent="0.2">
      <c r="A2300" s="18"/>
      <c r="B2300" s="137"/>
    </row>
    <row r="2301" spans="1:2" ht="15" customHeight="1" x14ac:dyDescent="0.2">
      <c r="A2301" s="18"/>
      <c r="B2301" s="137"/>
    </row>
    <row r="2302" spans="1:2" ht="15" customHeight="1" x14ac:dyDescent="0.2">
      <c r="A2302" s="18"/>
      <c r="B2302" s="137"/>
    </row>
    <row r="2303" spans="1:2" ht="15" customHeight="1" x14ac:dyDescent="0.2">
      <c r="A2303" s="18"/>
      <c r="B2303" s="137"/>
    </row>
    <row r="2304" spans="1:2" ht="15" customHeight="1" x14ac:dyDescent="0.2">
      <c r="A2304" s="18"/>
      <c r="B2304" s="137"/>
    </row>
    <row r="2305" spans="1:2" ht="15" customHeight="1" x14ac:dyDescent="0.2">
      <c r="A2305" s="18"/>
      <c r="B2305" s="137"/>
    </row>
    <row r="2306" spans="1:2" ht="15" customHeight="1" x14ac:dyDescent="0.2">
      <c r="A2306" s="18"/>
      <c r="B2306" s="137"/>
    </row>
    <row r="2307" spans="1:2" ht="15" customHeight="1" x14ac:dyDescent="0.2">
      <c r="A2307" s="18"/>
      <c r="B2307" s="137"/>
    </row>
    <row r="2308" spans="1:2" ht="15" customHeight="1" x14ac:dyDescent="0.2">
      <c r="A2308" s="18"/>
      <c r="B2308" s="137"/>
    </row>
    <row r="2309" spans="1:2" ht="15" customHeight="1" x14ac:dyDescent="0.2">
      <c r="A2309" s="18"/>
      <c r="B2309" s="137"/>
    </row>
    <row r="2310" spans="1:2" ht="15" customHeight="1" x14ac:dyDescent="0.2">
      <c r="A2310" s="18"/>
      <c r="B2310" s="137"/>
    </row>
    <row r="2311" spans="1:2" ht="15" customHeight="1" x14ac:dyDescent="0.2">
      <c r="A2311" s="18"/>
      <c r="B2311" s="137"/>
    </row>
    <row r="2312" spans="1:2" ht="15" customHeight="1" x14ac:dyDescent="0.2">
      <c r="A2312" s="18"/>
      <c r="B2312" s="137"/>
    </row>
    <row r="2313" spans="1:2" ht="15" customHeight="1" x14ac:dyDescent="0.2">
      <c r="A2313" s="18"/>
      <c r="B2313" s="137"/>
    </row>
    <row r="2314" spans="1:2" ht="15" customHeight="1" x14ac:dyDescent="0.2">
      <c r="A2314" s="18"/>
      <c r="B2314" s="137"/>
    </row>
    <row r="2315" spans="1:2" ht="15" customHeight="1" x14ac:dyDescent="0.2">
      <c r="A2315" s="18"/>
      <c r="B2315" s="137"/>
    </row>
    <row r="2316" spans="1:2" ht="15" customHeight="1" x14ac:dyDescent="0.2">
      <c r="A2316" s="18"/>
      <c r="B2316" s="137"/>
    </row>
    <row r="2317" spans="1:2" ht="15" customHeight="1" x14ac:dyDescent="0.2">
      <c r="A2317" s="18"/>
      <c r="B2317" s="137"/>
    </row>
    <row r="2318" spans="1:2" ht="15" customHeight="1" x14ac:dyDescent="0.2">
      <c r="A2318" s="18"/>
      <c r="B2318" s="137"/>
    </row>
    <row r="2319" spans="1:2" ht="15" customHeight="1" x14ac:dyDescent="0.2">
      <c r="A2319" s="18"/>
      <c r="B2319" s="137"/>
    </row>
    <row r="2320" spans="1:2" ht="15" customHeight="1" x14ac:dyDescent="0.2">
      <c r="A2320" s="18"/>
      <c r="B2320" s="137"/>
    </row>
    <row r="2321" spans="1:2" ht="15" customHeight="1" x14ac:dyDescent="0.2">
      <c r="A2321" s="18"/>
      <c r="B2321" s="137"/>
    </row>
    <row r="2322" spans="1:2" ht="15" customHeight="1" x14ac:dyDescent="0.2">
      <c r="A2322" s="18"/>
      <c r="B2322" s="137"/>
    </row>
    <row r="2323" spans="1:2" ht="15" customHeight="1" x14ac:dyDescent="0.2">
      <c r="A2323" s="18"/>
      <c r="B2323" s="137"/>
    </row>
    <row r="2324" spans="1:2" ht="15" customHeight="1" x14ac:dyDescent="0.2">
      <c r="A2324" s="18"/>
      <c r="B2324" s="137"/>
    </row>
    <row r="2325" spans="1:2" ht="15" customHeight="1" x14ac:dyDescent="0.2">
      <c r="A2325" s="18"/>
      <c r="B2325" s="137"/>
    </row>
    <row r="2326" spans="1:2" ht="15" customHeight="1" x14ac:dyDescent="0.2">
      <c r="A2326" s="18"/>
      <c r="B2326" s="137"/>
    </row>
    <row r="2327" spans="1:2" ht="15" customHeight="1" x14ac:dyDescent="0.2">
      <c r="A2327" s="18"/>
      <c r="B2327" s="137"/>
    </row>
    <row r="2328" spans="1:2" ht="15" customHeight="1" x14ac:dyDescent="0.2">
      <c r="A2328" s="18"/>
      <c r="B2328" s="137"/>
    </row>
    <row r="2329" spans="1:2" ht="15" customHeight="1" x14ac:dyDescent="0.2">
      <c r="A2329" s="18"/>
      <c r="B2329" s="137"/>
    </row>
    <row r="2330" spans="1:2" ht="15" customHeight="1" x14ac:dyDescent="0.2">
      <c r="A2330" s="18"/>
      <c r="B2330" s="137"/>
    </row>
    <row r="2331" spans="1:2" ht="15" customHeight="1" x14ac:dyDescent="0.2">
      <c r="A2331" s="18"/>
      <c r="B2331" s="137"/>
    </row>
    <row r="2332" spans="1:2" ht="15" customHeight="1" x14ac:dyDescent="0.2">
      <c r="A2332" s="18"/>
      <c r="B2332" s="137"/>
    </row>
    <row r="2333" spans="1:2" ht="15" customHeight="1" x14ac:dyDescent="0.2">
      <c r="A2333" s="18"/>
      <c r="B2333" s="137"/>
    </row>
    <row r="2334" spans="1:2" ht="15" customHeight="1" x14ac:dyDescent="0.2">
      <c r="A2334" s="18"/>
      <c r="B2334" s="137"/>
    </row>
    <row r="2335" spans="1:2" ht="15" customHeight="1" x14ac:dyDescent="0.2">
      <c r="A2335" s="18"/>
      <c r="B2335" s="137"/>
    </row>
    <row r="2336" spans="1:2" ht="15" customHeight="1" x14ac:dyDescent="0.2">
      <c r="A2336" s="18"/>
      <c r="B2336" s="137"/>
    </row>
    <row r="2337" spans="1:2" ht="15" customHeight="1" x14ac:dyDescent="0.2">
      <c r="A2337" s="18"/>
      <c r="B2337" s="137"/>
    </row>
    <row r="2338" spans="1:2" ht="15" customHeight="1" x14ac:dyDescent="0.2">
      <c r="A2338" s="18"/>
      <c r="B2338" s="137"/>
    </row>
    <row r="2339" spans="1:2" ht="15" customHeight="1" x14ac:dyDescent="0.2">
      <c r="A2339" s="18"/>
      <c r="B2339" s="137"/>
    </row>
    <row r="2340" spans="1:2" ht="15" customHeight="1" x14ac:dyDescent="0.2">
      <c r="A2340" s="18"/>
      <c r="B2340" s="137"/>
    </row>
    <row r="2341" spans="1:2" ht="15" customHeight="1" x14ac:dyDescent="0.2">
      <c r="A2341" s="18"/>
      <c r="B2341" s="137"/>
    </row>
    <row r="2342" spans="1:2" ht="15" customHeight="1" x14ac:dyDescent="0.2">
      <c r="A2342" s="18"/>
      <c r="B2342" s="137"/>
    </row>
    <row r="2343" spans="1:2" ht="15" customHeight="1" x14ac:dyDescent="0.2">
      <c r="A2343" s="18"/>
      <c r="B2343" s="137"/>
    </row>
    <row r="2344" spans="1:2" ht="15" customHeight="1" x14ac:dyDescent="0.2">
      <c r="A2344" s="18"/>
      <c r="B2344" s="137"/>
    </row>
    <row r="2345" spans="1:2" ht="15" customHeight="1" x14ac:dyDescent="0.2">
      <c r="A2345" s="18"/>
      <c r="B2345" s="137"/>
    </row>
    <row r="2346" spans="1:2" ht="15" customHeight="1" x14ac:dyDescent="0.2">
      <c r="A2346" s="18"/>
      <c r="B2346" s="137"/>
    </row>
    <row r="2347" spans="1:2" ht="15" customHeight="1" x14ac:dyDescent="0.2">
      <c r="A2347" s="18"/>
      <c r="B2347" s="137"/>
    </row>
    <row r="2348" spans="1:2" ht="15" customHeight="1" x14ac:dyDescent="0.2">
      <c r="A2348" s="18"/>
      <c r="B2348" s="137"/>
    </row>
    <row r="2349" spans="1:2" ht="15" customHeight="1" x14ac:dyDescent="0.2">
      <c r="A2349" s="18"/>
      <c r="B2349" s="137"/>
    </row>
    <row r="2350" spans="1:2" ht="15" customHeight="1" x14ac:dyDescent="0.2">
      <c r="A2350" s="18"/>
      <c r="B2350" s="137"/>
    </row>
    <row r="2351" spans="1:2" ht="15" customHeight="1" x14ac:dyDescent="0.2">
      <c r="A2351" s="18"/>
      <c r="B2351" s="137"/>
    </row>
    <row r="2352" spans="1:2" ht="15" customHeight="1" x14ac:dyDescent="0.2">
      <c r="A2352" s="18"/>
      <c r="B2352" s="137"/>
    </row>
    <row r="2353" spans="1:2" ht="15" customHeight="1" x14ac:dyDescent="0.2">
      <c r="A2353" s="18"/>
      <c r="B2353" s="137"/>
    </row>
    <row r="2354" spans="1:2" ht="15" customHeight="1" x14ac:dyDescent="0.2">
      <c r="A2354" s="18"/>
      <c r="B2354" s="137"/>
    </row>
    <row r="2355" spans="1:2" ht="15" customHeight="1" x14ac:dyDescent="0.2">
      <c r="A2355" s="18"/>
      <c r="B2355" s="137"/>
    </row>
    <row r="2356" spans="1:2" ht="15" customHeight="1" x14ac:dyDescent="0.2">
      <c r="A2356" s="18"/>
      <c r="B2356" s="137"/>
    </row>
    <row r="2357" spans="1:2" ht="15" customHeight="1" x14ac:dyDescent="0.2">
      <c r="A2357" s="18"/>
      <c r="B2357" s="137"/>
    </row>
    <row r="2358" spans="1:2" ht="15" customHeight="1" x14ac:dyDescent="0.2">
      <c r="A2358" s="18"/>
      <c r="B2358" s="137"/>
    </row>
    <row r="2359" spans="1:2" ht="15" customHeight="1" x14ac:dyDescent="0.2">
      <c r="A2359" s="18"/>
      <c r="B2359" s="137"/>
    </row>
    <row r="2360" spans="1:2" ht="15" customHeight="1" x14ac:dyDescent="0.2">
      <c r="A2360" s="18"/>
      <c r="B2360" s="137"/>
    </row>
    <row r="2361" spans="1:2" ht="15" customHeight="1" x14ac:dyDescent="0.2">
      <c r="A2361" s="18"/>
      <c r="B2361" s="137"/>
    </row>
    <row r="2362" spans="1:2" ht="15" customHeight="1" x14ac:dyDescent="0.2">
      <c r="A2362" s="18"/>
      <c r="B2362" s="137"/>
    </row>
    <row r="2363" spans="1:2" ht="15" customHeight="1" x14ac:dyDescent="0.2">
      <c r="A2363" s="18"/>
      <c r="B2363" s="137"/>
    </row>
    <row r="2364" spans="1:2" ht="15" customHeight="1" x14ac:dyDescent="0.2">
      <c r="A2364" s="18"/>
      <c r="B2364" s="137"/>
    </row>
    <row r="2365" spans="1:2" ht="15" customHeight="1" x14ac:dyDescent="0.2">
      <c r="A2365" s="18"/>
      <c r="B2365" s="137"/>
    </row>
    <row r="2366" spans="1:2" ht="15" customHeight="1" x14ac:dyDescent="0.2">
      <c r="A2366" s="18"/>
      <c r="B2366" s="137"/>
    </row>
    <row r="2367" spans="1:2" ht="15" customHeight="1" x14ac:dyDescent="0.2">
      <c r="A2367" s="18"/>
      <c r="B2367" s="137"/>
    </row>
    <row r="2368" spans="1:2" ht="15" customHeight="1" x14ac:dyDescent="0.2">
      <c r="A2368" s="18"/>
      <c r="B2368" s="137"/>
    </row>
    <row r="2369" spans="1:2" ht="15" customHeight="1" x14ac:dyDescent="0.2">
      <c r="A2369" s="18"/>
      <c r="B2369" s="137"/>
    </row>
    <row r="2370" spans="1:2" ht="15" customHeight="1" x14ac:dyDescent="0.2">
      <c r="A2370" s="18"/>
      <c r="B2370" s="137"/>
    </row>
    <row r="2371" spans="1:2" ht="15" customHeight="1" x14ac:dyDescent="0.2">
      <c r="A2371" s="18"/>
      <c r="B2371" s="137"/>
    </row>
    <row r="2372" spans="1:2" ht="15" customHeight="1" x14ac:dyDescent="0.2">
      <c r="A2372" s="18"/>
      <c r="B2372" s="137"/>
    </row>
    <row r="2373" spans="1:2" ht="15" customHeight="1" x14ac:dyDescent="0.2">
      <c r="A2373" s="18"/>
      <c r="B2373" s="137"/>
    </row>
    <row r="2374" spans="1:2" ht="15" customHeight="1" x14ac:dyDescent="0.2">
      <c r="A2374" s="18"/>
      <c r="B2374" s="137"/>
    </row>
    <row r="2375" spans="1:2" ht="15" customHeight="1" x14ac:dyDescent="0.2">
      <c r="A2375" s="18"/>
      <c r="B2375" s="137"/>
    </row>
    <row r="2376" spans="1:2" ht="15" customHeight="1" x14ac:dyDescent="0.2">
      <c r="A2376" s="18"/>
      <c r="B2376" s="137"/>
    </row>
    <row r="2377" spans="1:2" ht="15" customHeight="1" x14ac:dyDescent="0.2">
      <c r="A2377" s="18"/>
      <c r="B2377" s="137"/>
    </row>
    <row r="2378" spans="1:2" ht="15" customHeight="1" x14ac:dyDescent="0.2">
      <c r="A2378" s="18"/>
      <c r="B2378" s="137"/>
    </row>
    <row r="2379" spans="1:2" ht="15" customHeight="1" x14ac:dyDescent="0.2">
      <c r="A2379" s="18"/>
      <c r="B2379" s="137"/>
    </row>
    <row r="2380" spans="1:2" ht="15" customHeight="1" x14ac:dyDescent="0.2">
      <c r="A2380" s="18"/>
      <c r="B2380" s="137"/>
    </row>
    <row r="2381" spans="1:2" ht="15" customHeight="1" x14ac:dyDescent="0.2">
      <c r="A2381" s="18"/>
      <c r="B2381" s="137"/>
    </row>
    <row r="2382" spans="1:2" ht="15" customHeight="1" x14ac:dyDescent="0.2">
      <c r="A2382" s="18"/>
      <c r="B2382" s="137"/>
    </row>
    <row r="2383" spans="1:2" ht="15" customHeight="1" x14ac:dyDescent="0.2">
      <c r="A2383" s="18"/>
      <c r="B2383" s="137"/>
    </row>
    <row r="2384" spans="1:2" ht="15" customHeight="1" x14ac:dyDescent="0.2">
      <c r="A2384" s="18"/>
      <c r="B2384" s="137"/>
    </row>
    <row r="2385" spans="1:2" ht="15" customHeight="1" x14ac:dyDescent="0.2">
      <c r="A2385" s="18"/>
      <c r="B2385" s="137"/>
    </row>
    <row r="2386" spans="1:2" ht="15" customHeight="1" x14ac:dyDescent="0.2">
      <c r="A2386" s="18"/>
      <c r="B2386" s="137"/>
    </row>
    <row r="2387" spans="1:2" ht="15" customHeight="1" x14ac:dyDescent="0.2">
      <c r="A2387" s="18"/>
      <c r="B2387" s="137"/>
    </row>
    <row r="2388" spans="1:2" ht="15" customHeight="1" x14ac:dyDescent="0.2">
      <c r="A2388" s="18"/>
      <c r="B2388" s="137"/>
    </row>
    <row r="2389" spans="1:2" ht="15" customHeight="1" x14ac:dyDescent="0.2">
      <c r="A2389" s="18"/>
      <c r="B2389" s="137"/>
    </row>
    <row r="2390" spans="1:2" ht="15" customHeight="1" x14ac:dyDescent="0.2">
      <c r="A2390" s="18"/>
      <c r="B2390" s="137"/>
    </row>
    <row r="2391" spans="1:2" ht="15" customHeight="1" x14ac:dyDescent="0.2">
      <c r="A2391" s="18"/>
      <c r="B2391" s="137"/>
    </row>
    <row r="2392" spans="1:2" ht="15" customHeight="1" x14ac:dyDescent="0.2">
      <c r="A2392" s="18"/>
      <c r="B2392" s="137"/>
    </row>
    <row r="2393" spans="1:2" ht="15" customHeight="1" x14ac:dyDescent="0.2">
      <c r="A2393" s="18"/>
      <c r="B2393" s="137"/>
    </row>
    <row r="2394" spans="1:2" ht="15" customHeight="1" x14ac:dyDescent="0.2">
      <c r="A2394" s="18"/>
      <c r="B2394" s="137"/>
    </row>
    <row r="2395" spans="1:2" ht="15" customHeight="1" x14ac:dyDescent="0.2">
      <c r="A2395" s="18"/>
      <c r="B2395" s="137"/>
    </row>
    <row r="2396" spans="1:2" ht="15" customHeight="1" x14ac:dyDescent="0.2">
      <c r="A2396" s="18"/>
      <c r="B2396" s="137"/>
    </row>
    <row r="2397" spans="1:2" ht="15" customHeight="1" x14ac:dyDescent="0.2">
      <c r="A2397" s="18"/>
      <c r="B2397" s="137"/>
    </row>
    <row r="2398" spans="1:2" ht="15" customHeight="1" x14ac:dyDescent="0.2">
      <c r="A2398" s="18"/>
      <c r="B2398" s="137"/>
    </row>
    <row r="2399" spans="1:2" ht="15" customHeight="1" x14ac:dyDescent="0.2">
      <c r="A2399" s="18"/>
      <c r="B2399" s="137"/>
    </row>
    <row r="2400" spans="1:2" ht="15" customHeight="1" x14ac:dyDescent="0.2">
      <c r="A2400" s="18"/>
      <c r="B2400" s="137"/>
    </row>
    <row r="2401" spans="1:2" ht="15" customHeight="1" x14ac:dyDescent="0.2">
      <c r="A2401" s="18"/>
      <c r="B2401" s="137"/>
    </row>
    <row r="2402" spans="1:2" ht="15" customHeight="1" x14ac:dyDescent="0.2">
      <c r="A2402" s="18"/>
      <c r="B2402" s="137"/>
    </row>
    <row r="2403" spans="1:2" ht="15" customHeight="1" x14ac:dyDescent="0.2">
      <c r="A2403" s="18"/>
      <c r="B2403" s="137"/>
    </row>
    <row r="2404" spans="1:2" ht="15" customHeight="1" x14ac:dyDescent="0.2">
      <c r="A2404" s="18"/>
      <c r="B2404" s="137"/>
    </row>
    <row r="2405" spans="1:2" ht="15" customHeight="1" x14ac:dyDescent="0.2">
      <c r="A2405" s="18"/>
      <c r="B2405" s="137"/>
    </row>
    <row r="2406" spans="1:2" ht="15" customHeight="1" x14ac:dyDescent="0.2">
      <c r="A2406" s="18"/>
      <c r="B2406" s="137"/>
    </row>
    <row r="2407" spans="1:2" ht="15" customHeight="1" x14ac:dyDescent="0.2">
      <c r="A2407" s="18"/>
      <c r="B2407" s="137"/>
    </row>
    <row r="2408" spans="1:2" ht="15" customHeight="1" x14ac:dyDescent="0.2">
      <c r="A2408" s="18"/>
      <c r="B2408" s="137"/>
    </row>
    <row r="2409" spans="1:2" ht="15" customHeight="1" x14ac:dyDescent="0.2">
      <c r="A2409" s="18"/>
      <c r="B2409" s="137"/>
    </row>
    <row r="2410" spans="1:2" ht="15" customHeight="1" x14ac:dyDescent="0.2">
      <c r="A2410" s="18"/>
      <c r="B2410" s="137"/>
    </row>
    <row r="2411" spans="1:2" ht="15" customHeight="1" x14ac:dyDescent="0.2">
      <c r="A2411" s="18"/>
      <c r="B2411" s="137"/>
    </row>
    <row r="2412" spans="1:2" ht="15" customHeight="1" x14ac:dyDescent="0.2">
      <c r="A2412" s="18"/>
      <c r="B2412" s="137"/>
    </row>
    <row r="2413" spans="1:2" ht="15" customHeight="1" x14ac:dyDescent="0.2">
      <c r="A2413" s="18"/>
      <c r="B2413" s="137"/>
    </row>
    <row r="2414" spans="1:2" ht="15" customHeight="1" x14ac:dyDescent="0.2">
      <c r="A2414" s="18"/>
      <c r="B2414" s="137"/>
    </row>
    <row r="2415" spans="1:2" ht="15" customHeight="1" x14ac:dyDescent="0.2">
      <c r="A2415" s="18"/>
      <c r="B2415" s="137"/>
    </row>
    <row r="2416" spans="1:2" ht="15" customHeight="1" x14ac:dyDescent="0.2">
      <c r="A2416" s="18"/>
      <c r="B2416" s="137"/>
    </row>
    <row r="2417" spans="1:2" ht="15" customHeight="1" x14ac:dyDescent="0.2">
      <c r="A2417" s="18"/>
      <c r="B2417" s="137"/>
    </row>
    <row r="2418" spans="1:2" ht="15" customHeight="1" x14ac:dyDescent="0.2">
      <c r="A2418" s="18"/>
      <c r="B2418" s="137"/>
    </row>
    <row r="2419" spans="1:2" ht="15" customHeight="1" x14ac:dyDescent="0.2">
      <c r="A2419" s="18"/>
      <c r="B2419" s="137"/>
    </row>
    <row r="2420" spans="1:2" ht="15" customHeight="1" x14ac:dyDescent="0.2">
      <c r="A2420" s="18"/>
      <c r="B2420" s="137"/>
    </row>
    <row r="2421" spans="1:2" ht="15" customHeight="1" x14ac:dyDescent="0.2">
      <c r="A2421" s="18"/>
      <c r="B2421" s="137"/>
    </row>
    <row r="2422" spans="1:2" ht="15" customHeight="1" x14ac:dyDescent="0.2">
      <c r="A2422" s="18"/>
      <c r="B2422" s="137"/>
    </row>
    <row r="2423" spans="1:2" ht="15" customHeight="1" x14ac:dyDescent="0.2">
      <c r="A2423" s="18"/>
      <c r="B2423" s="137"/>
    </row>
    <row r="2424" spans="1:2" ht="15" customHeight="1" x14ac:dyDescent="0.2">
      <c r="A2424" s="18"/>
      <c r="B2424" s="137"/>
    </row>
    <row r="2425" spans="1:2" ht="15" customHeight="1" x14ac:dyDescent="0.2">
      <c r="A2425" s="18"/>
      <c r="B2425" s="137"/>
    </row>
    <row r="2426" spans="1:2" ht="15" customHeight="1" x14ac:dyDescent="0.2">
      <c r="A2426" s="18"/>
      <c r="B2426" s="137"/>
    </row>
    <row r="2427" spans="1:2" ht="15" customHeight="1" x14ac:dyDescent="0.2">
      <c r="A2427" s="18"/>
      <c r="B2427" s="137"/>
    </row>
    <row r="2428" spans="1:2" ht="15" customHeight="1" x14ac:dyDescent="0.2">
      <c r="A2428" s="18"/>
      <c r="B2428" s="137"/>
    </row>
    <row r="2429" spans="1:2" ht="15" customHeight="1" x14ac:dyDescent="0.2">
      <c r="A2429" s="18"/>
      <c r="B2429" s="137"/>
    </row>
    <row r="2430" spans="1:2" ht="15" customHeight="1" x14ac:dyDescent="0.2">
      <c r="A2430" s="18"/>
      <c r="B2430" s="137"/>
    </row>
    <row r="2431" spans="1:2" ht="15" customHeight="1" x14ac:dyDescent="0.2">
      <c r="A2431" s="18"/>
      <c r="B2431" s="137"/>
    </row>
    <row r="2432" spans="1:2" ht="15" customHeight="1" x14ac:dyDescent="0.2">
      <c r="A2432" s="18"/>
      <c r="B2432" s="137"/>
    </row>
    <row r="2433" spans="1:2" ht="15" customHeight="1" x14ac:dyDescent="0.2">
      <c r="A2433" s="18"/>
      <c r="B2433" s="137"/>
    </row>
    <row r="2434" spans="1:2" ht="15" customHeight="1" x14ac:dyDescent="0.2">
      <c r="A2434" s="18"/>
      <c r="B2434" s="137"/>
    </row>
    <row r="2435" spans="1:2" ht="15" customHeight="1" x14ac:dyDescent="0.2">
      <c r="A2435" s="18"/>
      <c r="B2435" s="137"/>
    </row>
    <row r="2436" spans="1:2" ht="15" customHeight="1" x14ac:dyDescent="0.2">
      <c r="A2436" s="18"/>
      <c r="B2436" s="137"/>
    </row>
    <row r="2437" spans="1:2" ht="15" customHeight="1" x14ac:dyDescent="0.2">
      <c r="A2437" s="18"/>
      <c r="B2437" s="137"/>
    </row>
    <row r="2438" spans="1:2" ht="15" customHeight="1" x14ac:dyDescent="0.2">
      <c r="A2438" s="18"/>
      <c r="B2438" s="137"/>
    </row>
    <row r="2439" spans="1:2" ht="15" customHeight="1" x14ac:dyDescent="0.2">
      <c r="A2439" s="18"/>
      <c r="B2439" s="137"/>
    </row>
    <row r="2440" spans="1:2" ht="15" customHeight="1" x14ac:dyDescent="0.2">
      <c r="A2440" s="18"/>
      <c r="B2440" s="137"/>
    </row>
    <row r="2441" spans="1:2" ht="15" customHeight="1" x14ac:dyDescent="0.2">
      <c r="A2441" s="18"/>
      <c r="B2441" s="137"/>
    </row>
    <row r="2442" spans="1:2" ht="15" customHeight="1" x14ac:dyDescent="0.2">
      <c r="A2442" s="18"/>
      <c r="B2442" s="137"/>
    </row>
    <row r="2443" spans="1:2" ht="15" customHeight="1" x14ac:dyDescent="0.2">
      <c r="A2443" s="18"/>
      <c r="B2443" s="137"/>
    </row>
    <row r="2444" spans="1:2" ht="15" customHeight="1" x14ac:dyDescent="0.2">
      <c r="A2444" s="18"/>
      <c r="B2444" s="137"/>
    </row>
    <row r="2445" spans="1:2" ht="15" customHeight="1" x14ac:dyDescent="0.2">
      <c r="A2445" s="18"/>
      <c r="B2445" s="137"/>
    </row>
    <row r="2446" spans="1:2" ht="15" customHeight="1" x14ac:dyDescent="0.2">
      <c r="A2446" s="18"/>
      <c r="B2446" s="137"/>
    </row>
    <row r="2447" spans="1:2" ht="15" customHeight="1" x14ac:dyDescent="0.2">
      <c r="A2447" s="18"/>
      <c r="B2447" s="137"/>
    </row>
    <row r="2448" spans="1:2" ht="15" customHeight="1" x14ac:dyDescent="0.2">
      <c r="A2448" s="18"/>
      <c r="B2448" s="137"/>
    </row>
    <row r="2449" spans="1:2" ht="15" customHeight="1" x14ac:dyDescent="0.2">
      <c r="A2449" s="18"/>
      <c r="B2449" s="137"/>
    </row>
    <row r="2450" spans="1:2" ht="15" customHeight="1" x14ac:dyDescent="0.2">
      <c r="A2450" s="18"/>
      <c r="B2450" s="137"/>
    </row>
    <row r="2451" spans="1:2" ht="15" customHeight="1" x14ac:dyDescent="0.2">
      <c r="A2451" s="18"/>
      <c r="B2451" s="137"/>
    </row>
    <row r="2452" spans="1:2" ht="15" customHeight="1" x14ac:dyDescent="0.2">
      <c r="A2452" s="18"/>
      <c r="B2452" s="137"/>
    </row>
    <row r="2453" spans="1:2" ht="15" customHeight="1" x14ac:dyDescent="0.2">
      <c r="A2453" s="18"/>
      <c r="B2453" s="137"/>
    </row>
    <row r="2454" spans="1:2" ht="15" customHeight="1" x14ac:dyDescent="0.2">
      <c r="A2454" s="18"/>
      <c r="B2454" s="137"/>
    </row>
    <row r="2455" spans="1:2" ht="15" customHeight="1" x14ac:dyDescent="0.2">
      <c r="A2455" s="18"/>
      <c r="B2455" s="137"/>
    </row>
    <row r="2456" spans="1:2" ht="15" customHeight="1" x14ac:dyDescent="0.2">
      <c r="A2456" s="18"/>
      <c r="B2456" s="137"/>
    </row>
    <row r="2457" spans="1:2" ht="15" customHeight="1" x14ac:dyDescent="0.2">
      <c r="A2457" s="18"/>
      <c r="B2457" s="137"/>
    </row>
    <row r="2458" spans="1:2" ht="15" customHeight="1" x14ac:dyDescent="0.2">
      <c r="A2458" s="18"/>
      <c r="B2458" s="137"/>
    </row>
    <row r="2459" spans="1:2" ht="15" customHeight="1" x14ac:dyDescent="0.2">
      <c r="A2459" s="18"/>
      <c r="B2459" s="137"/>
    </row>
    <row r="2460" spans="1:2" ht="15" customHeight="1" x14ac:dyDescent="0.2">
      <c r="A2460" s="18"/>
      <c r="B2460" s="137"/>
    </row>
    <row r="2461" spans="1:2" ht="15" customHeight="1" x14ac:dyDescent="0.2">
      <c r="A2461" s="18"/>
      <c r="B2461" s="137"/>
    </row>
    <row r="2462" spans="1:2" ht="15" customHeight="1" x14ac:dyDescent="0.2">
      <c r="A2462" s="18"/>
      <c r="B2462" s="137"/>
    </row>
    <row r="2463" spans="1:2" ht="15" customHeight="1" x14ac:dyDescent="0.2">
      <c r="A2463" s="18"/>
      <c r="B2463" s="137"/>
    </row>
    <row r="2464" spans="1:2" ht="15" customHeight="1" x14ac:dyDescent="0.2">
      <c r="A2464" s="18"/>
      <c r="B2464" s="137"/>
    </row>
    <row r="2465" spans="1:2" ht="15" customHeight="1" x14ac:dyDescent="0.2">
      <c r="A2465" s="18"/>
      <c r="B2465" s="137"/>
    </row>
    <row r="2466" spans="1:2" ht="15" customHeight="1" x14ac:dyDescent="0.2">
      <c r="A2466" s="18"/>
      <c r="B2466" s="137"/>
    </row>
    <row r="2467" spans="1:2" ht="15" customHeight="1" x14ac:dyDescent="0.2">
      <c r="A2467" s="18"/>
      <c r="B2467" s="137"/>
    </row>
    <row r="2468" spans="1:2" ht="15" customHeight="1" x14ac:dyDescent="0.2">
      <c r="A2468" s="18"/>
      <c r="B2468" s="137"/>
    </row>
    <row r="2469" spans="1:2" ht="15" customHeight="1" x14ac:dyDescent="0.2">
      <c r="A2469" s="18"/>
      <c r="B2469" s="137"/>
    </row>
    <row r="2470" spans="1:2" ht="15" customHeight="1" x14ac:dyDescent="0.2">
      <c r="A2470" s="18"/>
      <c r="B2470" s="137"/>
    </row>
    <row r="2471" spans="1:2" ht="15" customHeight="1" x14ac:dyDescent="0.2">
      <c r="A2471" s="18"/>
      <c r="B2471" s="137"/>
    </row>
    <row r="2472" spans="1:2" ht="15" customHeight="1" x14ac:dyDescent="0.2">
      <c r="A2472" s="18"/>
      <c r="B2472" s="137"/>
    </row>
    <row r="2473" spans="1:2" ht="15" customHeight="1" x14ac:dyDescent="0.2">
      <c r="A2473" s="18"/>
      <c r="B2473" s="137"/>
    </row>
    <row r="2474" spans="1:2" ht="15" customHeight="1" x14ac:dyDescent="0.2">
      <c r="A2474" s="18"/>
      <c r="B2474" s="137"/>
    </row>
    <row r="2475" spans="1:2" ht="15" customHeight="1" x14ac:dyDescent="0.2">
      <c r="A2475" s="18"/>
      <c r="B2475" s="137"/>
    </row>
    <row r="2476" spans="1:2" ht="15" customHeight="1" x14ac:dyDescent="0.2">
      <c r="A2476" s="18"/>
      <c r="B2476" s="137"/>
    </row>
    <row r="2477" spans="1:2" ht="15" customHeight="1" x14ac:dyDescent="0.2">
      <c r="A2477" s="18"/>
      <c r="B2477" s="137"/>
    </row>
    <row r="2478" spans="1:2" ht="15" customHeight="1" x14ac:dyDescent="0.2">
      <c r="A2478" s="18"/>
      <c r="B2478" s="137"/>
    </row>
    <row r="2479" spans="1:2" ht="15" customHeight="1" x14ac:dyDescent="0.2">
      <c r="A2479" s="18"/>
      <c r="B2479" s="137"/>
    </row>
    <row r="2480" spans="1:2" ht="15" customHeight="1" x14ac:dyDescent="0.2">
      <c r="A2480" s="18"/>
      <c r="B2480" s="137"/>
    </row>
    <row r="2481" spans="1:2" ht="15" customHeight="1" x14ac:dyDescent="0.2">
      <c r="A2481" s="18"/>
      <c r="B2481" s="137"/>
    </row>
    <row r="2482" spans="1:2" ht="15" customHeight="1" x14ac:dyDescent="0.2">
      <c r="A2482" s="18"/>
      <c r="B2482" s="137"/>
    </row>
    <row r="2483" spans="1:2" ht="15" customHeight="1" x14ac:dyDescent="0.2">
      <c r="A2483" s="18"/>
      <c r="B2483" s="137"/>
    </row>
    <row r="2484" spans="1:2" ht="15" customHeight="1" x14ac:dyDescent="0.2">
      <c r="A2484" s="18"/>
      <c r="B2484" s="137"/>
    </row>
    <row r="2485" spans="1:2" ht="15" customHeight="1" x14ac:dyDescent="0.2">
      <c r="A2485" s="18"/>
      <c r="B2485" s="137"/>
    </row>
    <row r="2486" spans="1:2" ht="15" customHeight="1" x14ac:dyDescent="0.2">
      <c r="A2486" s="18"/>
      <c r="B2486" s="137"/>
    </row>
    <row r="2487" spans="1:2" ht="15" customHeight="1" x14ac:dyDescent="0.2">
      <c r="A2487" s="18"/>
      <c r="B2487" s="137"/>
    </row>
    <row r="2488" spans="1:2" ht="15" customHeight="1" x14ac:dyDescent="0.2">
      <c r="A2488" s="18"/>
      <c r="B2488" s="137"/>
    </row>
    <row r="2489" spans="1:2" ht="15" customHeight="1" x14ac:dyDescent="0.2">
      <c r="A2489" s="18"/>
      <c r="B2489" s="137"/>
    </row>
    <row r="2490" spans="1:2" ht="15" customHeight="1" x14ac:dyDescent="0.2">
      <c r="A2490" s="18"/>
      <c r="B2490" s="137"/>
    </row>
    <row r="2491" spans="1:2" ht="15" customHeight="1" x14ac:dyDescent="0.2">
      <c r="A2491" s="18"/>
      <c r="B2491" s="137"/>
    </row>
    <row r="2492" spans="1:2" ht="15" customHeight="1" x14ac:dyDescent="0.2">
      <c r="A2492" s="18"/>
      <c r="B2492" s="137"/>
    </row>
    <row r="2493" spans="1:2" ht="15" customHeight="1" x14ac:dyDescent="0.2">
      <c r="A2493" s="18"/>
      <c r="B2493" s="137"/>
    </row>
    <row r="2494" spans="1:2" ht="15" customHeight="1" x14ac:dyDescent="0.2">
      <c r="A2494" s="18"/>
      <c r="B2494" s="137"/>
    </row>
    <row r="2495" spans="1:2" ht="15" customHeight="1" x14ac:dyDescent="0.2">
      <c r="A2495" s="18"/>
      <c r="B2495" s="137"/>
    </row>
    <row r="2496" spans="1:2" ht="15" customHeight="1" x14ac:dyDescent="0.2">
      <c r="A2496" s="18"/>
      <c r="B2496" s="137"/>
    </row>
    <row r="2497" spans="1:2" ht="15" customHeight="1" x14ac:dyDescent="0.2">
      <c r="A2497" s="18"/>
      <c r="B2497" s="137"/>
    </row>
    <row r="2498" spans="1:2" ht="15" customHeight="1" x14ac:dyDescent="0.2">
      <c r="A2498" s="18"/>
      <c r="B2498" s="137"/>
    </row>
    <row r="2499" spans="1:2" ht="15" customHeight="1" x14ac:dyDescent="0.2">
      <c r="A2499" s="18"/>
      <c r="B2499" s="137"/>
    </row>
    <row r="2500" spans="1:2" ht="15" customHeight="1" x14ac:dyDescent="0.2">
      <c r="A2500" s="18"/>
      <c r="B2500" s="137"/>
    </row>
    <row r="2501" spans="1:2" ht="15" customHeight="1" x14ac:dyDescent="0.2">
      <c r="A2501" s="18"/>
      <c r="B2501" s="137"/>
    </row>
    <row r="2502" spans="1:2" ht="15" customHeight="1" x14ac:dyDescent="0.2">
      <c r="A2502" s="18"/>
      <c r="B2502" s="137"/>
    </row>
    <row r="2503" spans="1:2" ht="15" customHeight="1" x14ac:dyDescent="0.2">
      <c r="A2503" s="18"/>
      <c r="B2503" s="137"/>
    </row>
    <row r="2504" spans="1:2" ht="15" customHeight="1" x14ac:dyDescent="0.2">
      <c r="A2504" s="18"/>
      <c r="B2504" s="137"/>
    </row>
    <row r="2505" spans="1:2" ht="15" customHeight="1" x14ac:dyDescent="0.2">
      <c r="A2505" s="18"/>
      <c r="B2505" s="137"/>
    </row>
    <row r="2506" spans="1:2" ht="15" customHeight="1" x14ac:dyDescent="0.2">
      <c r="A2506" s="18"/>
      <c r="B2506" s="137"/>
    </row>
    <row r="2507" spans="1:2" ht="15" customHeight="1" x14ac:dyDescent="0.2">
      <c r="A2507" s="18"/>
      <c r="B2507" s="137"/>
    </row>
    <row r="2508" spans="1:2" ht="15" customHeight="1" x14ac:dyDescent="0.2">
      <c r="A2508" s="18"/>
      <c r="B2508" s="137"/>
    </row>
    <row r="2509" spans="1:2" ht="15" customHeight="1" x14ac:dyDescent="0.2">
      <c r="A2509" s="18"/>
      <c r="B2509" s="137"/>
    </row>
    <row r="2510" spans="1:2" ht="15" customHeight="1" x14ac:dyDescent="0.2">
      <c r="A2510" s="18"/>
      <c r="B2510" s="137"/>
    </row>
    <row r="2511" spans="1:2" ht="15" customHeight="1" x14ac:dyDescent="0.2">
      <c r="A2511" s="18"/>
      <c r="B2511" s="137"/>
    </row>
    <row r="2512" spans="1:2" ht="15" customHeight="1" x14ac:dyDescent="0.2">
      <c r="A2512" s="18"/>
      <c r="B2512" s="137"/>
    </row>
    <row r="2513" spans="1:2" ht="15" customHeight="1" x14ac:dyDescent="0.2">
      <c r="A2513" s="18"/>
      <c r="B2513" s="137"/>
    </row>
    <row r="2514" spans="1:2" ht="15" customHeight="1" x14ac:dyDescent="0.2">
      <c r="A2514" s="18"/>
      <c r="B2514" s="137"/>
    </row>
    <row r="2515" spans="1:2" ht="15" customHeight="1" x14ac:dyDescent="0.2">
      <c r="A2515" s="18"/>
      <c r="B2515" s="137"/>
    </row>
    <row r="2516" spans="1:2" ht="15" customHeight="1" x14ac:dyDescent="0.2">
      <c r="A2516" s="18"/>
      <c r="B2516" s="137"/>
    </row>
    <row r="2517" spans="1:2" ht="15" customHeight="1" x14ac:dyDescent="0.2">
      <c r="A2517" s="18"/>
      <c r="B2517" s="137"/>
    </row>
    <row r="2518" spans="1:2" ht="15" customHeight="1" x14ac:dyDescent="0.2">
      <c r="A2518" s="18"/>
      <c r="B2518" s="137"/>
    </row>
    <row r="2519" spans="1:2" ht="15" customHeight="1" x14ac:dyDescent="0.2">
      <c r="A2519" s="18"/>
      <c r="B2519" s="137"/>
    </row>
    <row r="2520" spans="1:2" ht="15" customHeight="1" x14ac:dyDescent="0.2">
      <c r="A2520" s="18"/>
      <c r="B2520" s="137"/>
    </row>
    <row r="2521" spans="1:2" ht="15" customHeight="1" x14ac:dyDescent="0.2">
      <c r="A2521" s="18"/>
      <c r="B2521" s="137"/>
    </row>
    <row r="2522" spans="1:2" ht="15" customHeight="1" x14ac:dyDescent="0.2">
      <c r="A2522" s="18"/>
      <c r="B2522" s="137"/>
    </row>
    <row r="2523" spans="1:2" ht="15" customHeight="1" x14ac:dyDescent="0.2">
      <c r="A2523" s="18"/>
      <c r="B2523" s="137"/>
    </row>
    <row r="2524" spans="1:2" ht="15" customHeight="1" x14ac:dyDescent="0.2">
      <c r="A2524" s="18"/>
      <c r="B2524" s="137"/>
    </row>
    <row r="2525" spans="1:2" ht="15" customHeight="1" x14ac:dyDescent="0.2">
      <c r="A2525" s="18"/>
      <c r="B2525" s="137"/>
    </row>
    <row r="2526" spans="1:2" ht="15" customHeight="1" x14ac:dyDescent="0.2">
      <c r="A2526" s="18"/>
      <c r="B2526" s="137"/>
    </row>
    <row r="2527" spans="1:2" ht="15" customHeight="1" x14ac:dyDescent="0.2">
      <c r="A2527" s="18"/>
      <c r="B2527" s="137"/>
    </row>
    <row r="2528" spans="1:2" ht="15" customHeight="1" x14ac:dyDescent="0.2">
      <c r="A2528" s="18"/>
      <c r="B2528" s="137"/>
    </row>
    <row r="2529" spans="1:2" ht="15" customHeight="1" x14ac:dyDescent="0.2">
      <c r="A2529" s="18"/>
      <c r="B2529" s="137"/>
    </row>
    <row r="2530" spans="1:2" ht="15" customHeight="1" x14ac:dyDescent="0.2">
      <c r="A2530" s="18"/>
      <c r="B2530" s="137"/>
    </row>
    <row r="2531" spans="1:2" ht="15" customHeight="1" x14ac:dyDescent="0.2">
      <c r="A2531" s="18"/>
      <c r="B2531" s="137"/>
    </row>
    <row r="2532" spans="1:2" ht="15" customHeight="1" x14ac:dyDescent="0.2">
      <c r="A2532" s="18"/>
      <c r="B2532" s="137"/>
    </row>
    <row r="2533" spans="1:2" ht="15" customHeight="1" x14ac:dyDescent="0.2">
      <c r="A2533" s="18"/>
      <c r="B2533" s="137"/>
    </row>
    <row r="2534" spans="1:2" ht="15" customHeight="1" x14ac:dyDescent="0.2">
      <c r="A2534" s="18"/>
      <c r="B2534" s="137"/>
    </row>
    <row r="2535" spans="1:2" ht="15" customHeight="1" x14ac:dyDescent="0.2">
      <c r="A2535" s="18"/>
      <c r="B2535" s="137"/>
    </row>
    <row r="2536" spans="1:2" ht="15" customHeight="1" x14ac:dyDescent="0.2">
      <c r="A2536" s="18"/>
      <c r="B2536" s="137"/>
    </row>
    <row r="2537" spans="1:2" ht="15" customHeight="1" x14ac:dyDescent="0.2">
      <c r="A2537" s="18"/>
      <c r="B2537" s="137"/>
    </row>
    <row r="2538" spans="1:2" ht="15" customHeight="1" x14ac:dyDescent="0.2">
      <c r="A2538" s="18"/>
      <c r="B2538" s="137"/>
    </row>
    <row r="2539" spans="1:2" ht="15" customHeight="1" x14ac:dyDescent="0.2">
      <c r="A2539" s="18"/>
      <c r="B2539" s="137"/>
    </row>
    <row r="2540" spans="1:2" ht="15" customHeight="1" x14ac:dyDescent="0.2">
      <c r="A2540" s="18"/>
      <c r="B2540" s="137"/>
    </row>
    <row r="2541" spans="1:2" ht="15" customHeight="1" x14ac:dyDescent="0.2">
      <c r="A2541" s="18"/>
      <c r="B2541" s="137"/>
    </row>
    <row r="2542" spans="1:2" ht="15" customHeight="1" x14ac:dyDescent="0.2">
      <c r="A2542" s="18"/>
      <c r="B2542" s="137"/>
    </row>
    <row r="2543" spans="1:2" ht="15" customHeight="1" x14ac:dyDescent="0.2">
      <c r="A2543" s="18"/>
      <c r="B2543" s="137"/>
    </row>
    <row r="2544" spans="1:2" ht="15" customHeight="1" x14ac:dyDescent="0.2">
      <c r="A2544" s="18"/>
      <c r="B2544" s="137"/>
    </row>
    <row r="2545" spans="1:2" ht="15" customHeight="1" x14ac:dyDescent="0.2">
      <c r="A2545" s="18"/>
      <c r="B2545" s="137"/>
    </row>
    <row r="2546" spans="1:2" ht="15" customHeight="1" x14ac:dyDescent="0.2">
      <c r="A2546" s="18"/>
      <c r="B2546" s="137"/>
    </row>
    <row r="2547" spans="1:2" ht="15" customHeight="1" x14ac:dyDescent="0.2">
      <c r="A2547" s="18"/>
      <c r="B2547" s="137"/>
    </row>
    <row r="2548" spans="1:2" ht="15" customHeight="1" x14ac:dyDescent="0.2">
      <c r="A2548" s="18"/>
      <c r="B2548" s="137"/>
    </row>
    <row r="2549" spans="1:2" ht="15" customHeight="1" x14ac:dyDescent="0.2">
      <c r="A2549" s="18"/>
      <c r="B2549" s="137"/>
    </row>
    <row r="2550" spans="1:2" ht="15" customHeight="1" x14ac:dyDescent="0.2">
      <c r="A2550" s="18"/>
      <c r="B2550" s="137"/>
    </row>
    <row r="2551" spans="1:2" ht="15" customHeight="1" x14ac:dyDescent="0.2">
      <c r="A2551" s="18"/>
      <c r="B2551" s="137"/>
    </row>
    <row r="2552" spans="1:2" ht="15" customHeight="1" x14ac:dyDescent="0.2">
      <c r="A2552" s="18"/>
      <c r="B2552" s="137"/>
    </row>
    <row r="2553" spans="1:2" ht="15" customHeight="1" x14ac:dyDescent="0.2">
      <c r="A2553" s="18"/>
      <c r="B2553" s="137"/>
    </row>
    <row r="2554" spans="1:2" ht="15" customHeight="1" x14ac:dyDescent="0.2">
      <c r="A2554" s="18"/>
      <c r="B2554" s="137"/>
    </row>
    <row r="2555" spans="1:2" ht="15" customHeight="1" x14ac:dyDescent="0.2">
      <c r="A2555" s="18"/>
      <c r="B2555" s="137"/>
    </row>
    <row r="2556" spans="1:2" ht="15" customHeight="1" x14ac:dyDescent="0.2">
      <c r="A2556" s="18"/>
      <c r="B2556" s="137"/>
    </row>
    <row r="2557" spans="1:2" ht="15" customHeight="1" x14ac:dyDescent="0.2">
      <c r="A2557" s="18"/>
      <c r="B2557" s="137"/>
    </row>
    <row r="2558" spans="1:2" ht="15" customHeight="1" x14ac:dyDescent="0.2">
      <c r="A2558" s="18"/>
      <c r="B2558" s="137"/>
    </row>
    <row r="2559" spans="1:2" ht="15" customHeight="1" x14ac:dyDescent="0.2">
      <c r="A2559" s="18"/>
      <c r="B2559" s="137"/>
    </row>
    <row r="2560" spans="1:2" ht="15" customHeight="1" x14ac:dyDescent="0.2">
      <c r="A2560" s="18"/>
      <c r="B2560" s="137"/>
    </row>
    <row r="2561" spans="1:2" ht="15" customHeight="1" x14ac:dyDescent="0.2">
      <c r="A2561" s="18"/>
      <c r="B2561" s="137"/>
    </row>
    <row r="2562" spans="1:2" ht="15" customHeight="1" x14ac:dyDescent="0.2">
      <c r="A2562" s="18"/>
      <c r="B2562" s="137"/>
    </row>
    <row r="2563" spans="1:2" ht="15" customHeight="1" x14ac:dyDescent="0.2">
      <c r="A2563" s="18"/>
      <c r="B2563" s="137"/>
    </row>
    <row r="2564" spans="1:2" ht="15" customHeight="1" x14ac:dyDescent="0.2">
      <c r="A2564" s="18"/>
      <c r="B2564" s="137"/>
    </row>
    <row r="2565" spans="1:2" ht="15" customHeight="1" x14ac:dyDescent="0.2">
      <c r="A2565" s="18"/>
      <c r="B2565" s="137"/>
    </row>
    <row r="2566" spans="1:2" ht="15" customHeight="1" x14ac:dyDescent="0.2">
      <c r="A2566" s="18"/>
      <c r="B2566" s="137"/>
    </row>
    <row r="2567" spans="1:2" ht="15" customHeight="1" x14ac:dyDescent="0.2">
      <c r="A2567" s="18"/>
      <c r="B2567" s="137"/>
    </row>
    <row r="2568" spans="1:2" ht="15" customHeight="1" x14ac:dyDescent="0.2">
      <c r="A2568" s="18"/>
      <c r="B2568" s="137"/>
    </row>
    <row r="2569" spans="1:2" ht="15" customHeight="1" x14ac:dyDescent="0.2">
      <c r="A2569" s="18"/>
      <c r="B2569" s="137"/>
    </row>
    <row r="2570" spans="1:2" ht="15" customHeight="1" x14ac:dyDescent="0.2">
      <c r="A2570" s="18"/>
      <c r="B2570" s="137"/>
    </row>
    <row r="2571" spans="1:2" ht="15" customHeight="1" x14ac:dyDescent="0.2">
      <c r="A2571" s="18"/>
      <c r="B2571" s="137"/>
    </row>
    <row r="2572" spans="1:2" ht="15" customHeight="1" x14ac:dyDescent="0.2">
      <c r="A2572" s="18"/>
      <c r="B2572" s="137"/>
    </row>
    <row r="2573" spans="1:2" ht="15" customHeight="1" x14ac:dyDescent="0.2">
      <c r="A2573" s="18"/>
      <c r="B2573" s="137"/>
    </row>
    <row r="2574" spans="1:2" ht="15" customHeight="1" x14ac:dyDescent="0.2">
      <c r="A2574" s="18"/>
      <c r="B2574" s="137"/>
    </row>
    <row r="2575" spans="1:2" ht="15" customHeight="1" x14ac:dyDescent="0.2">
      <c r="A2575" s="18"/>
      <c r="B2575" s="137"/>
    </row>
    <row r="2576" spans="1:2" ht="15" customHeight="1" x14ac:dyDescent="0.2">
      <c r="A2576" s="18"/>
      <c r="B2576" s="137"/>
    </row>
    <row r="2577" spans="1:2" ht="15" customHeight="1" x14ac:dyDescent="0.2">
      <c r="A2577" s="18"/>
      <c r="B2577" s="137"/>
    </row>
    <row r="2578" spans="1:2" ht="15" customHeight="1" x14ac:dyDescent="0.2">
      <c r="A2578" s="18"/>
      <c r="B2578" s="137"/>
    </row>
    <row r="2579" spans="1:2" ht="15" customHeight="1" x14ac:dyDescent="0.2">
      <c r="A2579" s="18"/>
      <c r="B2579" s="137"/>
    </row>
    <row r="2580" spans="1:2" ht="15" customHeight="1" x14ac:dyDescent="0.2">
      <c r="A2580" s="18"/>
      <c r="B2580" s="137"/>
    </row>
    <row r="2581" spans="1:2" ht="15" customHeight="1" x14ac:dyDescent="0.2">
      <c r="A2581" s="18"/>
      <c r="B2581" s="137"/>
    </row>
    <row r="2582" spans="1:2" ht="15" customHeight="1" x14ac:dyDescent="0.2">
      <c r="A2582" s="18"/>
      <c r="B2582" s="137"/>
    </row>
    <row r="2583" spans="1:2" ht="15" customHeight="1" x14ac:dyDescent="0.2">
      <c r="A2583" s="18"/>
      <c r="B2583" s="137"/>
    </row>
    <row r="2584" spans="1:2" ht="15" customHeight="1" x14ac:dyDescent="0.2">
      <c r="A2584" s="18"/>
      <c r="B2584" s="137"/>
    </row>
    <row r="2585" spans="1:2" ht="15" customHeight="1" x14ac:dyDescent="0.2">
      <c r="A2585" s="18"/>
      <c r="B2585" s="137"/>
    </row>
    <row r="2586" spans="1:2" ht="15" customHeight="1" x14ac:dyDescent="0.2">
      <c r="A2586" s="18"/>
      <c r="B2586" s="137"/>
    </row>
    <row r="2587" spans="1:2" ht="15" customHeight="1" x14ac:dyDescent="0.2">
      <c r="A2587" s="18"/>
      <c r="B2587" s="137"/>
    </row>
    <row r="2588" spans="1:2" ht="15" customHeight="1" x14ac:dyDescent="0.2">
      <c r="A2588" s="18"/>
      <c r="B2588" s="137"/>
    </row>
    <row r="2589" spans="1:2" ht="15" customHeight="1" x14ac:dyDescent="0.2">
      <c r="A2589" s="18"/>
      <c r="B2589" s="137"/>
    </row>
    <row r="2590" spans="1:2" ht="15" customHeight="1" x14ac:dyDescent="0.2">
      <c r="A2590" s="18"/>
      <c r="B2590" s="137"/>
    </row>
    <row r="2591" spans="1:2" ht="15" customHeight="1" x14ac:dyDescent="0.2">
      <c r="A2591" s="18"/>
      <c r="B2591" s="137"/>
    </row>
    <row r="2592" spans="1:2" ht="15" customHeight="1" x14ac:dyDescent="0.2">
      <c r="A2592" s="18"/>
      <c r="B2592" s="137"/>
    </row>
    <row r="2593" spans="1:2" ht="15" customHeight="1" x14ac:dyDescent="0.2">
      <c r="A2593" s="18"/>
      <c r="B2593" s="137"/>
    </row>
    <row r="2594" spans="1:2" ht="15" customHeight="1" x14ac:dyDescent="0.2">
      <c r="A2594" s="18"/>
      <c r="B2594" s="137"/>
    </row>
    <row r="2595" spans="1:2" ht="15" customHeight="1" x14ac:dyDescent="0.2">
      <c r="A2595" s="18"/>
      <c r="B2595" s="137"/>
    </row>
    <row r="2596" spans="1:2" ht="15" customHeight="1" x14ac:dyDescent="0.2">
      <c r="A2596" s="18"/>
      <c r="B2596" s="137"/>
    </row>
    <row r="2597" spans="1:2" ht="15" customHeight="1" x14ac:dyDescent="0.2">
      <c r="A2597" s="18"/>
      <c r="B2597" s="137"/>
    </row>
    <row r="2598" spans="1:2" ht="15" customHeight="1" x14ac:dyDescent="0.2">
      <c r="A2598" s="18"/>
      <c r="B2598" s="137"/>
    </row>
    <row r="2599" spans="1:2" ht="15" customHeight="1" x14ac:dyDescent="0.2">
      <c r="A2599" s="18"/>
      <c r="B2599" s="137"/>
    </row>
    <row r="2600" spans="1:2" ht="15" customHeight="1" x14ac:dyDescent="0.2">
      <c r="A2600" s="18"/>
      <c r="B2600" s="137"/>
    </row>
    <row r="2601" spans="1:2" ht="15" customHeight="1" x14ac:dyDescent="0.2">
      <c r="A2601" s="18"/>
      <c r="B2601" s="137"/>
    </row>
    <row r="2602" spans="1:2" ht="15" customHeight="1" x14ac:dyDescent="0.2">
      <c r="A2602" s="18"/>
      <c r="B2602" s="137"/>
    </row>
    <row r="2603" spans="1:2" ht="15" customHeight="1" x14ac:dyDescent="0.2">
      <c r="A2603" s="18"/>
      <c r="B2603" s="137"/>
    </row>
    <row r="2604" spans="1:2" ht="15" customHeight="1" x14ac:dyDescent="0.2">
      <c r="A2604" s="18"/>
      <c r="B2604" s="137"/>
    </row>
    <row r="2605" spans="1:2" ht="15" customHeight="1" x14ac:dyDescent="0.2">
      <c r="A2605" s="18"/>
      <c r="B2605" s="137"/>
    </row>
    <row r="2606" spans="1:2" ht="15" customHeight="1" x14ac:dyDescent="0.2">
      <c r="A2606" s="18"/>
      <c r="B2606" s="137"/>
    </row>
    <row r="2607" spans="1:2" ht="15" customHeight="1" x14ac:dyDescent="0.2">
      <c r="A2607" s="18"/>
      <c r="B2607" s="137"/>
    </row>
    <row r="2608" spans="1:2" ht="15" customHeight="1" x14ac:dyDescent="0.2">
      <c r="A2608" s="18"/>
      <c r="B2608" s="137"/>
    </row>
    <row r="2609" spans="1:2" ht="15" customHeight="1" x14ac:dyDescent="0.2">
      <c r="A2609" s="18"/>
      <c r="B2609" s="137"/>
    </row>
    <row r="2610" spans="1:2" ht="15" customHeight="1" x14ac:dyDescent="0.2">
      <c r="A2610" s="18"/>
      <c r="B2610" s="137"/>
    </row>
    <row r="2611" spans="1:2" ht="15" customHeight="1" x14ac:dyDescent="0.2">
      <c r="A2611" s="18"/>
      <c r="B2611" s="137"/>
    </row>
    <row r="2612" spans="1:2" ht="15" customHeight="1" x14ac:dyDescent="0.2">
      <c r="A2612" s="18"/>
      <c r="B2612" s="137"/>
    </row>
    <row r="2613" spans="1:2" ht="15" customHeight="1" x14ac:dyDescent="0.2">
      <c r="A2613" s="18"/>
      <c r="B2613" s="137"/>
    </row>
    <row r="2614" spans="1:2" ht="15" customHeight="1" x14ac:dyDescent="0.2">
      <c r="A2614" s="18"/>
      <c r="B2614" s="137"/>
    </row>
    <row r="2615" spans="1:2" ht="15" customHeight="1" x14ac:dyDescent="0.2">
      <c r="A2615" s="18"/>
      <c r="B2615" s="137"/>
    </row>
    <row r="2616" spans="1:2" ht="15" customHeight="1" x14ac:dyDescent="0.2">
      <c r="A2616" s="18"/>
      <c r="B2616" s="137"/>
    </row>
    <row r="2617" spans="1:2" ht="15" customHeight="1" x14ac:dyDescent="0.2">
      <c r="A2617" s="18"/>
      <c r="B2617" s="137"/>
    </row>
    <row r="2618" spans="1:2" ht="15" customHeight="1" x14ac:dyDescent="0.2">
      <c r="A2618" s="18"/>
      <c r="B2618" s="137"/>
    </row>
    <row r="2619" spans="1:2" ht="15" customHeight="1" x14ac:dyDescent="0.2">
      <c r="A2619" s="18"/>
      <c r="B2619" s="137"/>
    </row>
    <row r="2620" spans="1:2" ht="15" customHeight="1" x14ac:dyDescent="0.2">
      <c r="A2620" s="18"/>
      <c r="B2620" s="137"/>
    </row>
    <row r="2621" spans="1:2" ht="15" customHeight="1" x14ac:dyDescent="0.2">
      <c r="A2621" s="18"/>
      <c r="B2621" s="137"/>
    </row>
    <row r="2622" spans="1:2" ht="15" customHeight="1" x14ac:dyDescent="0.2">
      <c r="A2622" s="18"/>
      <c r="B2622" s="137"/>
    </row>
    <row r="2623" spans="1:2" ht="15" customHeight="1" x14ac:dyDescent="0.2">
      <c r="A2623" s="18"/>
      <c r="B2623" s="137"/>
    </row>
    <row r="2624" spans="1:2" ht="15" customHeight="1" x14ac:dyDescent="0.2">
      <c r="A2624" s="18"/>
      <c r="B2624" s="137"/>
    </row>
    <row r="2625" spans="1:2" ht="15" customHeight="1" x14ac:dyDescent="0.2">
      <c r="A2625" s="18"/>
      <c r="B2625" s="137"/>
    </row>
    <row r="2626" spans="1:2" ht="15" customHeight="1" x14ac:dyDescent="0.2">
      <c r="A2626" s="18"/>
      <c r="B2626" s="137"/>
    </row>
    <row r="2627" spans="1:2" ht="15" customHeight="1" x14ac:dyDescent="0.2">
      <c r="A2627" s="18"/>
      <c r="B2627" s="137"/>
    </row>
    <row r="2628" spans="1:2" ht="15" customHeight="1" x14ac:dyDescent="0.2">
      <c r="A2628" s="18"/>
      <c r="B2628" s="137"/>
    </row>
    <row r="2629" spans="1:2" ht="15" customHeight="1" x14ac:dyDescent="0.2">
      <c r="A2629" s="18"/>
      <c r="B2629" s="137"/>
    </row>
    <row r="2630" spans="1:2" ht="15" customHeight="1" x14ac:dyDescent="0.2">
      <c r="A2630" s="18"/>
      <c r="B2630" s="137"/>
    </row>
    <row r="2631" spans="1:2" ht="15" customHeight="1" x14ac:dyDescent="0.2">
      <c r="A2631" s="18"/>
      <c r="B2631" s="137"/>
    </row>
    <row r="2632" spans="1:2" ht="15" customHeight="1" x14ac:dyDescent="0.2">
      <c r="A2632" s="18"/>
      <c r="B2632" s="137"/>
    </row>
    <row r="2633" spans="1:2" ht="15" customHeight="1" x14ac:dyDescent="0.2">
      <c r="A2633" s="18"/>
      <c r="B2633" s="137"/>
    </row>
    <row r="2634" spans="1:2" ht="15" customHeight="1" x14ac:dyDescent="0.2">
      <c r="A2634" s="18"/>
      <c r="B2634" s="137"/>
    </row>
    <row r="2635" spans="1:2" ht="15" customHeight="1" x14ac:dyDescent="0.2">
      <c r="A2635" s="18"/>
      <c r="B2635" s="137"/>
    </row>
    <row r="2636" spans="1:2" ht="15" customHeight="1" x14ac:dyDescent="0.2">
      <c r="A2636" s="18"/>
      <c r="B2636" s="137"/>
    </row>
    <row r="2637" spans="1:2" ht="15" customHeight="1" x14ac:dyDescent="0.2">
      <c r="A2637" s="18"/>
      <c r="B2637" s="137"/>
    </row>
    <row r="2638" spans="1:2" ht="15" customHeight="1" x14ac:dyDescent="0.2">
      <c r="A2638" s="18"/>
      <c r="B2638" s="137"/>
    </row>
    <row r="2639" spans="1:2" ht="15" customHeight="1" x14ac:dyDescent="0.2">
      <c r="A2639" s="18"/>
      <c r="B2639" s="137"/>
    </row>
    <row r="2640" spans="1:2" ht="15" customHeight="1" x14ac:dyDescent="0.2">
      <c r="A2640" s="18"/>
      <c r="B2640" s="137"/>
    </row>
    <row r="2641" spans="1:2" ht="15" customHeight="1" x14ac:dyDescent="0.2">
      <c r="A2641" s="18"/>
      <c r="B2641" s="137"/>
    </row>
    <row r="2642" spans="1:2" ht="15" customHeight="1" x14ac:dyDescent="0.2">
      <c r="A2642" s="18"/>
      <c r="B2642" s="137"/>
    </row>
    <row r="2643" spans="1:2" ht="15" customHeight="1" x14ac:dyDescent="0.2">
      <c r="A2643" s="18"/>
      <c r="B2643" s="137"/>
    </row>
    <row r="2644" spans="1:2" ht="15" customHeight="1" x14ac:dyDescent="0.2">
      <c r="A2644" s="18"/>
      <c r="B2644" s="137"/>
    </row>
    <row r="2645" spans="1:2" ht="15" customHeight="1" x14ac:dyDescent="0.2">
      <c r="A2645" s="18"/>
      <c r="B2645" s="137"/>
    </row>
    <row r="2646" spans="1:2" ht="15" customHeight="1" x14ac:dyDescent="0.2">
      <c r="A2646" s="18"/>
      <c r="B2646" s="137"/>
    </row>
    <row r="2647" spans="1:2" ht="15" customHeight="1" x14ac:dyDescent="0.2">
      <c r="A2647" s="18"/>
      <c r="B2647" s="137"/>
    </row>
    <row r="2648" spans="1:2" ht="15" customHeight="1" x14ac:dyDescent="0.2">
      <c r="A2648" s="18"/>
      <c r="B2648" s="137"/>
    </row>
    <row r="2649" spans="1:2" ht="15" customHeight="1" x14ac:dyDescent="0.2">
      <c r="A2649" s="18"/>
      <c r="B2649" s="137"/>
    </row>
    <row r="2650" spans="1:2" ht="15" customHeight="1" x14ac:dyDescent="0.2">
      <c r="A2650" s="18"/>
      <c r="B2650" s="137"/>
    </row>
    <row r="2651" spans="1:2" ht="15" customHeight="1" x14ac:dyDescent="0.2">
      <c r="A2651" s="18"/>
      <c r="B2651" s="137"/>
    </row>
    <row r="2652" spans="1:2" ht="15" customHeight="1" x14ac:dyDescent="0.2">
      <c r="A2652" s="18"/>
      <c r="B2652" s="137"/>
    </row>
    <row r="2653" spans="1:2" ht="15" customHeight="1" x14ac:dyDescent="0.2">
      <c r="A2653" s="18"/>
      <c r="B2653" s="137"/>
    </row>
    <row r="2654" spans="1:2" ht="15" customHeight="1" x14ac:dyDescent="0.2">
      <c r="A2654" s="18"/>
      <c r="B2654" s="137"/>
    </row>
    <row r="2655" spans="1:2" ht="15" customHeight="1" x14ac:dyDescent="0.2">
      <c r="A2655" s="18"/>
      <c r="B2655" s="137"/>
    </row>
    <row r="2656" spans="1:2" ht="15" customHeight="1" x14ac:dyDescent="0.2">
      <c r="A2656" s="18"/>
      <c r="B2656" s="137"/>
    </row>
    <row r="2657" spans="1:2" ht="15" customHeight="1" x14ac:dyDescent="0.2">
      <c r="A2657" s="18"/>
      <c r="B2657" s="137"/>
    </row>
    <row r="2658" spans="1:2" ht="15" customHeight="1" x14ac:dyDescent="0.2">
      <c r="A2658" s="18"/>
      <c r="B2658" s="137"/>
    </row>
    <row r="2659" spans="1:2" ht="15" customHeight="1" x14ac:dyDescent="0.2">
      <c r="A2659" s="18"/>
      <c r="B2659" s="137"/>
    </row>
    <row r="2660" spans="1:2" ht="15" customHeight="1" x14ac:dyDescent="0.2">
      <c r="A2660" s="18"/>
      <c r="B2660" s="137"/>
    </row>
    <row r="2661" spans="1:2" ht="15" customHeight="1" x14ac:dyDescent="0.2">
      <c r="A2661" s="18"/>
      <c r="B2661" s="137"/>
    </row>
    <row r="2662" spans="1:2" ht="15" customHeight="1" x14ac:dyDescent="0.2">
      <c r="A2662" s="18"/>
      <c r="B2662" s="137"/>
    </row>
    <row r="2663" spans="1:2" ht="15" customHeight="1" x14ac:dyDescent="0.2">
      <c r="A2663" s="18"/>
      <c r="B2663" s="137"/>
    </row>
    <row r="2664" spans="1:2" ht="15" customHeight="1" x14ac:dyDescent="0.2">
      <c r="A2664" s="18"/>
      <c r="B2664" s="137"/>
    </row>
    <row r="2665" spans="1:2" ht="15" customHeight="1" x14ac:dyDescent="0.2">
      <c r="A2665" s="18"/>
      <c r="B2665" s="137"/>
    </row>
    <row r="2666" spans="1:2" ht="15" customHeight="1" x14ac:dyDescent="0.2">
      <c r="A2666" s="18"/>
      <c r="B2666" s="137"/>
    </row>
    <row r="2667" spans="1:2" ht="15" customHeight="1" x14ac:dyDescent="0.2">
      <c r="A2667" s="18"/>
      <c r="B2667" s="137"/>
    </row>
    <row r="2668" spans="1:2" ht="15" customHeight="1" x14ac:dyDescent="0.2">
      <c r="A2668" s="18"/>
      <c r="B2668" s="137"/>
    </row>
    <row r="2669" spans="1:2" ht="15" customHeight="1" x14ac:dyDescent="0.2">
      <c r="A2669" s="18"/>
      <c r="B2669" s="137"/>
    </row>
    <row r="2670" spans="1:2" ht="15" customHeight="1" x14ac:dyDescent="0.2">
      <c r="A2670" s="18"/>
      <c r="B2670" s="137"/>
    </row>
    <row r="2671" spans="1:2" ht="15" customHeight="1" x14ac:dyDescent="0.2">
      <c r="A2671" s="18"/>
      <c r="B2671" s="137"/>
    </row>
    <row r="2672" spans="1:2" ht="15" customHeight="1" x14ac:dyDescent="0.2">
      <c r="A2672" s="18"/>
      <c r="B2672" s="137"/>
    </row>
    <row r="2673" spans="1:2" ht="15" customHeight="1" x14ac:dyDescent="0.2">
      <c r="A2673" s="18"/>
      <c r="B2673" s="137"/>
    </row>
    <row r="2674" spans="1:2" ht="15" customHeight="1" x14ac:dyDescent="0.2">
      <c r="A2674" s="18"/>
      <c r="B2674" s="137"/>
    </row>
    <row r="2675" spans="1:2" ht="15" customHeight="1" x14ac:dyDescent="0.2">
      <c r="A2675" s="18"/>
      <c r="B2675" s="137"/>
    </row>
    <row r="2676" spans="1:2" ht="15" customHeight="1" x14ac:dyDescent="0.2">
      <c r="A2676" s="18"/>
      <c r="B2676" s="137"/>
    </row>
    <row r="2677" spans="1:2" ht="15" customHeight="1" x14ac:dyDescent="0.2">
      <c r="A2677" s="18"/>
      <c r="B2677" s="137"/>
    </row>
    <row r="2678" spans="1:2" ht="15" customHeight="1" x14ac:dyDescent="0.2">
      <c r="A2678" s="18"/>
      <c r="B2678" s="137"/>
    </row>
    <row r="2679" spans="1:2" ht="15" customHeight="1" x14ac:dyDescent="0.2">
      <c r="A2679" s="18"/>
      <c r="B2679" s="137"/>
    </row>
    <row r="2680" spans="1:2" ht="15" customHeight="1" x14ac:dyDescent="0.2">
      <c r="A2680" s="18"/>
      <c r="B2680" s="137"/>
    </row>
    <row r="2681" spans="1:2" ht="15" customHeight="1" x14ac:dyDescent="0.2">
      <c r="A2681" s="18"/>
      <c r="B2681" s="137"/>
    </row>
    <row r="2682" spans="1:2" ht="15" customHeight="1" x14ac:dyDescent="0.2">
      <c r="A2682" s="18"/>
      <c r="B2682" s="137"/>
    </row>
    <row r="2683" spans="1:2" ht="15" customHeight="1" x14ac:dyDescent="0.2">
      <c r="A2683" s="18"/>
      <c r="B2683" s="137"/>
    </row>
    <row r="2684" spans="1:2" ht="15" customHeight="1" x14ac:dyDescent="0.2">
      <c r="A2684" s="18"/>
      <c r="B2684" s="137"/>
    </row>
    <row r="2685" spans="1:2" ht="15" customHeight="1" x14ac:dyDescent="0.2">
      <c r="A2685" s="18"/>
      <c r="B2685" s="137"/>
    </row>
    <row r="2686" spans="1:2" ht="15" customHeight="1" x14ac:dyDescent="0.2">
      <c r="A2686" s="18"/>
      <c r="B2686" s="137"/>
    </row>
    <row r="2687" spans="1:2" ht="15" customHeight="1" x14ac:dyDescent="0.2">
      <c r="A2687" s="18"/>
      <c r="B2687" s="137"/>
    </row>
    <row r="2688" spans="1:2" ht="15" customHeight="1" x14ac:dyDescent="0.2">
      <c r="A2688" s="18"/>
      <c r="B2688" s="137"/>
    </row>
    <row r="2689" spans="1:2" ht="15" customHeight="1" x14ac:dyDescent="0.2">
      <c r="A2689" s="18"/>
      <c r="B2689" s="137"/>
    </row>
    <row r="2690" spans="1:2" ht="15" customHeight="1" x14ac:dyDescent="0.2">
      <c r="A2690" s="18"/>
      <c r="B2690" s="137"/>
    </row>
    <row r="2691" spans="1:2" ht="15" customHeight="1" x14ac:dyDescent="0.2">
      <c r="A2691" s="18"/>
      <c r="B2691" s="137"/>
    </row>
    <row r="2692" spans="1:2" ht="15" customHeight="1" x14ac:dyDescent="0.2">
      <c r="A2692" s="18"/>
      <c r="B2692" s="137"/>
    </row>
    <row r="2693" spans="1:2" ht="15" customHeight="1" x14ac:dyDescent="0.2">
      <c r="A2693" s="18"/>
      <c r="B2693" s="137"/>
    </row>
    <row r="2694" spans="1:2" ht="15" customHeight="1" x14ac:dyDescent="0.2">
      <c r="A2694" s="18"/>
      <c r="B2694" s="137"/>
    </row>
    <row r="2695" spans="1:2" ht="15" customHeight="1" x14ac:dyDescent="0.2">
      <c r="A2695" s="18"/>
      <c r="B2695" s="137"/>
    </row>
    <row r="2696" spans="1:2" ht="15" customHeight="1" x14ac:dyDescent="0.2">
      <c r="A2696" s="18"/>
      <c r="B2696" s="137"/>
    </row>
    <row r="2697" spans="1:2" ht="15" customHeight="1" x14ac:dyDescent="0.2">
      <c r="A2697" s="18"/>
      <c r="B2697" s="137"/>
    </row>
    <row r="2698" spans="1:2" ht="15" customHeight="1" x14ac:dyDescent="0.2">
      <c r="A2698" s="18"/>
      <c r="B2698" s="137"/>
    </row>
    <row r="2699" spans="1:2" ht="15" customHeight="1" x14ac:dyDescent="0.2">
      <c r="A2699" s="18"/>
      <c r="B2699" s="137"/>
    </row>
    <row r="2700" spans="1:2" ht="15" customHeight="1" x14ac:dyDescent="0.2">
      <c r="A2700" s="18"/>
      <c r="B2700" s="137"/>
    </row>
    <row r="2701" spans="1:2" ht="15" customHeight="1" x14ac:dyDescent="0.2">
      <c r="A2701" s="18"/>
      <c r="B2701" s="137"/>
    </row>
    <row r="2702" spans="1:2" ht="15" customHeight="1" x14ac:dyDescent="0.2">
      <c r="A2702" s="18"/>
      <c r="B2702" s="137"/>
    </row>
    <row r="2703" spans="1:2" ht="15" customHeight="1" x14ac:dyDescent="0.2">
      <c r="A2703" s="18"/>
      <c r="B2703" s="137"/>
    </row>
    <row r="2704" spans="1:2" ht="15" customHeight="1" x14ac:dyDescent="0.2">
      <c r="A2704" s="18"/>
      <c r="B2704" s="137"/>
    </row>
    <row r="2705" spans="1:2" ht="15" customHeight="1" x14ac:dyDescent="0.2">
      <c r="A2705" s="18"/>
      <c r="B2705" s="137"/>
    </row>
    <row r="2706" spans="1:2" ht="15" customHeight="1" x14ac:dyDescent="0.2">
      <c r="A2706" s="18"/>
      <c r="B2706" s="137"/>
    </row>
    <row r="2707" spans="1:2" ht="15" customHeight="1" x14ac:dyDescent="0.2">
      <c r="A2707" s="18"/>
      <c r="B2707" s="137"/>
    </row>
    <row r="2708" spans="1:2" ht="15" customHeight="1" x14ac:dyDescent="0.2">
      <c r="A2708" s="18"/>
      <c r="B2708" s="137"/>
    </row>
    <row r="2709" spans="1:2" ht="15" customHeight="1" x14ac:dyDescent="0.2">
      <c r="A2709" s="18"/>
      <c r="B2709" s="137"/>
    </row>
    <row r="2710" spans="1:2" ht="15" customHeight="1" x14ac:dyDescent="0.2">
      <c r="A2710" s="18"/>
      <c r="B2710" s="137"/>
    </row>
    <row r="2711" spans="1:2" ht="15" customHeight="1" x14ac:dyDescent="0.2">
      <c r="A2711" s="18"/>
      <c r="B2711" s="137"/>
    </row>
    <row r="2712" spans="1:2" ht="15" customHeight="1" x14ac:dyDescent="0.2">
      <c r="A2712" s="18"/>
      <c r="B2712" s="137"/>
    </row>
    <row r="2713" spans="1:2" ht="15" customHeight="1" x14ac:dyDescent="0.2">
      <c r="A2713" s="18"/>
      <c r="B2713" s="137"/>
    </row>
    <row r="2714" spans="1:2" ht="15" customHeight="1" x14ac:dyDescent="0.2">
      <c r="A2714" s="18"/>
      <c r="B2714" s="137"/>
    </row>
    <row r="2715" spans="1:2" ht="15" customHeight="1" x14ac:dyDescent="0.2">
      <c r="A2715" s="18"/>
      <c r="B2715" s="137"/>
    </row>
    <row r="2716" spans="1:2" ht="15" customHeight="1" x14ac:dyDescent="0.2">
      <c r="A2716" s="18"/>
      <c r="B2716" s="137"/>
    </row>
    <row r="2717" spans="1:2" ht="15" customHeight="1" x14ac:dyDescent="0.2">
      <c r="A2717" s="18"/>
      <c r="B2717" s="137"/>
    </row>
    <row r="2718" spans="1:2" ht="15" customHeight="1" x14ac:dyDescent="0.2">
      <c r="A2718" s="18"/>
      <c r="B2718" s="137"/>
    </row>
    <row r="2719" spans="1:2" ht="15" customHeight="1" x14ac:dyDescent="0.2">
      <c r="A2719" s="18"/>
      <c r="B2719" s="137"/>
    </row>
    <row r="2720" spans="1:2" ht="15" customHeight="1" x14ac:dyDescent="0.2">
      <c r="A2720" s="18"/>
      <c r="B2720" s="137"/>
    </row>
    <row r="2721" spans="1:2" ht="15" customHeight="1" x14ac:dyDescent="0.2">
      <c r="A2721" s="18"/>
      <c r="B2721" s="137"/>
    </row>
    <row r="2722" spans="1:2" ht="15" customHeight="1" x14ac:dyDescent="0.2">
      <c r="A2722" s="18"/>
      <c r="B2722" s="137"/>
    </row>
    <row r="2723" spans="1:2" ht="15" customHeight="1" x14ac:dyDescent="0.2">
      <c r="A2723" s="18"/>
      <c r="B2723" s="137"/>
    </row>
    <row r="2724" spans="1:2" ht="15" customHeight="1" x14ac:dyDescent="0.2">
      <c r="A2724" s="18"/>
      <c r="B2724" s="137"/>
    </row>
    <row r="2725" spans="1:2" ht="15" customHeight="1" x14ac:dyDescent="0.2">
      <c r="A2725" s="18"/>
      <c r="B2725" s="137"/>
    </row>
    <row r="2726" spans="1:2" ht="15" customHeight="1" x14ac:dyDescent="0.2">
      <c r="A2726" s="18"/>
      <c r="B2726" s="137"/>
    </row>
    <row r="2727" spans="1:2" ht="15" customHeight="1" x14ac:dyDescent="0.2">
      <c r="A2727" s="18"/>
      <c r="B2727" s="137"/>
    </row>
    <row r="2728" spans="1:2" ht="15" customHeight="1" x14ac:dyDescent="0.2">
      <c r="A2728" s="18"/>
      <c r="B2728" s="137"/>
    </row>
    <row r="2729" spans="1:2" ht="15" customHeight="1" x14ac:dyDescent="0.2">
      <c r="A2729" s="18"/>
      <c r="B2729" s="137"/>
    </row>
    <row r="2730" spans="1:2" ht="15" customHeight="1" x14ac:dyDescent="0.2">
      <c r="A2730" s="18"/>
      <c r="B2730" s="137"/>
    </row>
    <row r="2731" spans="1:2" ht="15" customHeight="1" x14ac:dyDescent="0.2">
      <c r="A2731" s="18"/>
      <c r="B2731" s="137"/>
    </row>
    <row r="2732" spans="1:2" ht="15" customHeight="1" x14ac:dyDescent="0.2">
      <c r="A2732" s="18"/>
      <c r="B2732" s="137"/>
    </row>
    <row r="2733" spans="1:2" ht="15" customHeight="1" x14ac:dyDescent="0.2">
      <c r="A2733" s="18"/>
      <c r="B2733" s="137"/>
    </row>
    <row r="2734" spans="1:2" ht="15" customHeight="1" x14ac:dyDescent="0.2">
      <c r="A2734" s="18"/>
      <c r="B2734" s="137"/>
    </row>
    <row r="2735" spans="1:2" ht="15" customHeight="1" x14ac:dyDescent="0.2">
      <c r="A2735" s="18"/>
      <c r="B2735" s="137"/>
    </row>
    <row r="2736" spans="1:2" ht="15" customHeight="1" x14ac:dyDescent="0.2">
      <c r="A2736" s="18"/>
      <c r="B2736" s="137"/>
    </row>
    <row r="2737" spans="1:2" ht="15" customHeight="1" x14ac:dyDescent="0.2">
      <c r="A2737" s="18"/>
      <c r="B2737" s="137"/>
    </row>
    <row r="2738" spans="1:2" ht="15" customHeight="1" x14ac:dyDescent="0.2">
      <c r="A2738" s="18"/>
      <c r="B2738" s="137"/>
    </row>
    <row r="2739" spans="1:2" ht="15" customHeight="1" x14ac:dyDescent="0.2">
      <c r="A2739" s="18"/>
      <c r="B2739" s="137"/>
    </row>
    <row r="2740" spans="1:2" ht="15" customHeight="1" x14ac:dyDescent="0.2">
      <c r="A2740" s="18"/>
      <c r="B2740" s="137"/>
    </row>
    <row r="2741" spans="1:2" ht="15" customHeight="1" x14ac:dyDescent="0.2">
      <c r="A2741" s="18"/>
      <c r="B2741" s="137"/>
    </row>
    <row r="2742" spans="1:2" ht="15" customHeight="1" x14ac:dyDescent="0.2">
      <c r="A2742" s="18"/>
      <c r="B2742" s="137"/>
    </row>
    <row r="2743" spans="1:2" ht="15" customHeight="1" x14ac:dyDescent="0.2">
      <c r="A2743" s="18"/>
      <c r="B2743" s="137"/>
    </row>
    <row r="2744" spans="1:2" ht="15" customHeight="1" x14ac:dyDescent="0.2">
      <c r="A2744" s="18"/>
      <c r="B2744" s="137"/>
    </row>
    <row r="2745" spans="1:2" ht="15" customHeight="1" x14ac:dyDescent="0.2">
      <c r="A2745" s="18"/>
      <c r="B2745" s="137"/>
    </row>
    <row r="2746" spans="1:2" ht="15" customHeight="1" x14ac:dyDescent="0.2">
      <c r="A2746" s="18"/>
      <c r="B2746" s="137"/>
    </row>
    <row r="2747" spans="1:2" ht="15" customHeight="1" x14ac:dyDescent="0.2">
      <c r="A2747" s="18"/>
      <c r="B2747" s="137"/>
    </row>
    <row r="2748" spans="1:2" ht="15" customHeight="1" x14ac:dyDescent="0.2">
      <c r="A2748" s="18"/>
      <c r="B2748" s="137"/>
    </row>
    <row r="2749" spans="1:2" ht="15" customHeight="1" x14ac:dyDescent="0.2">
      <c r="A2749" s="18"/>
      <c r="B2749" s="137"/>
    </row>
    <row r="2750" spans="1:2" ht="15" customHeight="1" x14ac:dyDescent="0.2">
      <c r="A2750" s="18"/>
      <c r="B2750" s="137"/>
    </row>
    <row r="2751" spans="1:2" ht="15" customHeight="1" x14ac:dyDescent="0.2">
      <c r="A2751" s="18"/>
      <c r="B2751" s="137"/>
    </row>
    <row r="2752" spans="1:2" ht="15" customHeight="1" x14ac:dyDescent="0.2">
      <c r="A2752" s="18"/>
      <c r="B2752" s="137"/>
    </row>
    <row r="2753" spans="1:2" ht="15" customHeight="1" x14ac:dyDescent="0.2">
      <c r="A2753" s="18"/>
      <c r="B2753" s="137"/>
    </row>
    <row r="2754" spans="1:2" ht="15" customHeight="1" x14ac:dyDescent="0.2">
      <c r="A2754" s="18"/>
      <c r="B2754" s="137"/>
    </row>
    <row r="2755" spans="1:2" ht="15" customHeight="1" x14ac:dyDescent="0.2">
      <c r="A2755" s="18"/>
      <c r="B2755" s="137"/>
    </row>
    <row r="2756" spans="1:2" ht="15" customHeight="1" x14ac:dyDescent="0.2">
      <c r="A2756" s="18"/>
      <c r="B2756" s="137"/>
    </row>
    <row r="2757" spans="1:2" ht="15" customHeight="1" x14ac:dyDescent="0.2">
      <c r="A2757" s="18"/>
      <c r="B2757" s="137"/>
    </row>
    <row r="2758" spans="1:2" ht="15" customHeight="1" x14ac:dyDescent="0.2">
      <c r="A2758" s="18"/>
      <c r="B2758" s="137"/>
    </row>
    <row r="2759" spans="1:2" ht="15" customHeight="1" x14ac:dyDescent="0.2">
      <c r="A2759" s="18"/>
      <c r="B2759" s="137"/>
    </row>
    <row r="2760" spans="1:2" ht="15" customHeight="1" x14ac:dyDescent="0.2">
      <c r="A2760" s="18"/>
      <c r="B2760" s="137"/>
    </row>
    <row r="2761" spans="1:2" ht="15" customHeight="1" x14ac:dyDescent="0.2">
      <c r="A2761" s="18"/>
      <c r="B2761" s="137"/>
    </row>
    <row r="2762" spans="1:2" ht="15" customHeight="1" x14ac:dyDescent="0.2">
      <c r="A2762" s="18"/>
      <c r="B2762" s="137"/>
    </row>
    <row r="2763" spans="1:2" ht="15" customHeight="1" x14ac:dyDescent="0.2">
      <c r="A2763" s="18"/>
      <c r="B2763" s="137"/>
    </row>
    <row r="2764" spans="1:2" ht="15" customHeight="1" x14ac:dyDescent="0.2">
      <c r="A2764" s="18"/>
      <c r="B2764" s="137"/>
    </row>
    <row r="2765" spans="1:2" ht="15" customHeight="1" x14ac:dyDescent="0.2">
      <c r="A2765" s="18"/>
      <c r="B2765" s="137"/>
    </row>
    <row r="2766" spans="1:2" ht="15" customHeight="1" x14ac:dyDescent="0.2">
      <c r="A2766" s="18"/>
      <c r="B2766" s="137"/>
    </row>
    <row r="2767" spans="1:2" ht="15" customHeight="1" x14ac:dyDescent="0.2">
      <c r="A2767" s="18"/>
      <c r="B2767" s="137"/>
    </row>
    <row r="2768" spans="1:2" ht="15" customHeight="1" x14ac:dyDescent="0.2">
      <c r="A2768" s="18"/>
      <c r="B2768" s="137"/>
    </row>
    <row r="2769" spans="1:2" ht="15" customHeight="1" x14ac:dyDescent="0.2">
      <c r="A2769" s="18"/>
      <c r="B2769" s="137"/>
    </row>
    <row r="2770" spans="1:2" ht="15" customHeight="1" x14ac:dyDescent="0.2">
      <c r="A2770" s="18"/>
      <c r="B2770" s="137"/>
    </row>
    <row r="2771" spans="1:2" ht="15" customHeight="1" x14ac:dyDescent="0.2">
      <c r="A2771" s="18"/>
      <c r="B2771" s="137"/>
    </row>
    <row r="2772" spans="1:2" ht="15" customHeight="1" x14ac:dyDescent="0.2">
      <c r="A2772" s="18"/>
      <c r="B2772" s="137"/>
    </row>
    <row r="2773" spans="1:2" ht="15" customHeight="1" x14ac:dyDescent="0.2">
      <c r="A2773" s="18"/>
      <c r="B2773" s="137"/>
    </row>
    <row r="2774" spans="1:2" ht="15" customHeight="1" x14ac:dyDescent="0.2">
      <c r="A2774" s="18"/>
      <c r="B2774" s="137"/>
    </row>
    <row r="2775" spans="1:2" ht="15" customHeight="1" x14ac:dyDescent="0.2">
      <c r="A2775" s="18"/>
      <c r="B2775" s="137"/>
    </row>
    <row r="2776" spans="1:2" ht="15" customHeight="1" x14ac:dyDescent="0.2">
      <c r="A2776" s="18"/>
      <c r="B2776" s="137"/>
    </row>
    <row r="2777" spans="1:2" ht="15" customHeight="1" x14ac:dyDescent="0.2">
      <c r="A2777" s="18"/>
      <c r="B2777" s="137"/>
    </row>
    <row r="2778" spans="1:2" ht="15" customHeight="1" x14ac:dyDescent="0.2">
      <c r="A2778" s="18"/>
      <c r="B2778" s="137"/>
    </row>
    <row r="2779" spans="1:2" ht="15" customHeight="1" x14ac:dyDescent="0.2">
      <c r="A2779" s="18"/>
      <c r="B2779" s="137"/>
    </row>
    <row r="2780" spans="1:2" ht="15" customHeight="1" x14ac:dyDescent="0.2">
      <c r="A2780" s="18"/>
      <c r="B2780" s="137"/>
    </row>
    <row r="2781" spans="1:2" ht="15" customHeight="1" x14ac:dyDescent="0.2">
      <c r="A2781" s="18"/>
      <c r="B2781" s="137"/>
    </row>
    <row r="2782" spans="1:2" ht="15" customHeight="1" x14ac:dyDescent="0.2">
      <c r="A2782" s="18"/>
      <c r="B2782" s="137"/>
    </row>
    <row r="2783" spans="1:2" ht="15" customHeight="1" x14ac:dyDescent="0.2">
      <c r="A2783" s="18"/>
      <c r="B2783" s="137"/>
    </row>
    <row r="2784" spans="1:2" ht="15" customHeight="1" x14ac:dyDescent="0.2">
      <c r="A2784" s="18"/>
      <c r="B2784" s="137"/>
    </row>
    <row r="2785" spans="1:2" ht="15" customHeight="1" x14ac:dyDescent="0.2">
      <c r="A2785" s="18"/>
      <c r="B2785" s="137"/>
    </row>
    <row r="2786" spans="1:2" ht="15" customHeight="1" x14ac:dyDescent="0.2">
      <c r="A2786" s="18"/>
      <c r="B2786" s="137"/>
    </row>
    <row r="2787" spans="1:2" ht="15" customHeight="1" x14ac:dyDescent="0.2">
      <c r="A2787" s="18"/>
      <c r="B2787" s="137"/>
    </row>
    <row r="2788" spans="1:2" ht="15" customHeight="1" x14ac:dyDescent="0.2">
      <c r="A2788" s="18"/>
      <c r="B2788" s="137"/>
    </row>
    <row r="2789" spans="1:2" ht="15" customHeight="1" x14ac:dyDescent="0.2">
      <c r="A2789" s="18"/>
      <c r="B2789" s="137"/>
    </row>
    <row r="2790" spans="1:2" ht="15" customHeight="1" x14ac:dyDescent="0.2">
      <c r="A2790" s="18"/>
      <c r="B2790" s="137"/>
    </row>
    <row r="2791" spans="1:2" ht="15" customHeight="1" x14ac:dyDescent="0.2">
      <c r="A2791" s="18"/>
      <c r="B2791" s="137"/>
    </row>
    <row r="2792" spans="1:2" ht="15" customHeight="1" x14ac:dyDescent="0.2">
      <c r="A2792" s="18"/>
      <c r="B2792" s="137"/>
    </row>
    <row r="2793" spans="1:2" ht="15" customHeight="1" x14ac:dyDescent="0.2">
      <c r="A2793" s="18"/>
      <c r="B2793" s="137"/>
    </row>
    <row r="2794" spans="1:2" ht="15" customHeight="1" x14ac:dyDescent="0.2">
      <c r="A2794" s="18"/>
      <c r="B2794" s="137"/>
    </row>
    <row r="2795" spans="1:2" ht="15" customHeight="1" x14ac:dyDescent="0.2">
      <c r="A2795" s="18"/>
      <c r="B2795" s="137"/>
    </row>
    <row r="2796" spans="1:2" ht="15" customHeight="1" x14ac:dyDescent="0.2">
      <c r="A2796" s="18"/>
      <c r="B2796" s="137"/>
    </row>
    <row r="2797" spans="1:2" ht="15" customHeight="1" x14ac:dyDescent="0.2">
      <c r="A2797" s="18"/>
      <c r="B2797" s="137"/>
    </row>
    <row r="2798" spans="1:2" ht="15" customHeight="1" x14ac:dyDescent="0.2">
      <c r="A2798" s="18"/>
      <c r="B2798" s="137"/>
    </row>
    <row r="2799" spans="1:2" ht="15" customHeight="1" x14ac:dyDescent="0.2">
      <c r="A2799" s="18"/>
      <c r="B2799" s="137"/>
    </row>
    <row r="2800" spans="1:2" ht="15" customHeight="1" x14ac:dyDescent="0.2">
      <c r="A2800" s="18"/>
      <c r="B2800" s="137"/>
    </row>
    <row r="2801" spans="1:2" ht="15" customHeight="1" x14ac:dyDescent="0.2">
      <c r="A2801" s="18"/>
      <c r="B2801" s="137"/>
    </row>
    <row r="2802" spans="1:2" ht="15" customHeight="1" x14ac:dyDescent="0.2">
      <c r="A2802" s="18"/>
      <c r="B2802" s="137"/>
    </row>
    <row r="2803" spans="1:2" ht="15" customHeight="1" x14ac:dyDescent="0.2">
      <c r="A2803" s="18"/>
      <c r="B2803" s="137"/>
    </row>
    <row r="2804" spans="1:2" ht="15" customHeight="1" x14ac:dyDescent="0.2">
      <c r="A2804" s="18"/>
      <c r="B2804" s="137"/>
    </row>
    <row r="2805" spans="1:2" ht="15" customHeight="1" x14ac:dyDescent="0.2">
      <c r="A2805" s="18"/>
      <c r="B2805" s="137"/>
    </row>
    <row r="2806" spans="1:2" ht="15" customHeight="1" x14ac:dyDescent="0.2">
      <c r="A2806" s="18"/>
      <c r="B2806" s="137"/>
    </row>
    <row r="2807" spans="1:2" ht="15" customHeight="1" x14ac:dyDescent="0.2">
      <c r="A2807" s="18"/>
      <c r="B2807" s="137"/>
    </row>
    <row r="2808" spans="1:2" ht="15" customHeight="1" x14ac:dyDescent="0.2">
      <c r="A2808" s="18"/>
      <c r="B2808" s="137"/>
    </row>
    <row r="2809" spans="1:2" ht="15" customHeight="1" x14ac:dyDescent="0.2">
      <c r="A2809" s="18"/>
      <c r="B2809" s="137"/>
    </row>
    <row r="2810" spans="1:2" ht="15" customHeight="1" x14ac:dyDescent="0.2">
      <c r="A2810" s="18"/>
      <c r="B2810" s="137"/>
    </row>
    <row r="2811" spans="1:2" ht="15" customHeight="1" x14ac:dyDescent="0.2">
      <c r="A2811" s="18"/>
      <c r="B2811" s="137"/>
    </row>
    <row r="2812" spans="1:2" ht="15" customHeight="1" x14ac:dyDescent="0.2">
      <c r="A2812" s="18"/>
      <c r="B2812" s="137"/>
    </row>
    <row r="2813" spans="1:2" ht="15" customHeight="1" x14ac:dyDescent="0.2">
      <c r="A2813" s="18"/>
      <c r="B2813" s="137"/>
    </row>
    <row r="2814" spans="1:2" ht="15" customHeight="1" x14ac:dyDescent="0.2">
      <c r="A2814" s="18"/>
      <c r="B2814" s="137"/>
    </row>
    <row r="2815" spans="1:2" ht="15" customHeight="1" x14ac:dyDescent="0.2">
      <c r="A2815" s="18"/>
      <c r="B2815" s="137"/>
    </row>
    <row r="2816" spans="1:2" ht="15" customHeight="1" x14ac:dyDescent="0.2">
      <c r="A2816" s="18"/>
      <c r="B2816" s="137"/>
    </row>
    <row r="2817" spans="1:2" ht="15" customHeight="1" x14ac:dyDescent="0.2">
      <c r="A2817" s="18"/>
      <c r="B2817" s="137"/>
    </row>
    <row r="2818" spans="1:2" ht="15" customHeight="1" x14ac:dyDescent="0.2">
      <c r="A2818" s="18"/>
      <c r="B2818" s="137"/>
    </row>
    <row r="2819" spans="1:2" ht="15" customHeight="1" x14ac:dyDescent="0.2">
      <c r="A2819" s="18"/>
      <c r="B2819" s="137"/>
    </row>
    <row r="2820" spans="1:2" ht="15" customHeight="1" x14ac:dyDescent="0.2">
      <c r="A2820" s="18"/>
      <c r="B2820" s="137"/>
    </row>
    <row r="2821" spans="1:2" ht="15" customHeight="1" x14ac:dyDescent="0.2">
      <c r="A2821" s="18"/>
      <c r="B2821" s="137"/>
    </row>
    <row r="2822" spans="1:2" ht="15" customHeight="1" x14ac:dyDescent="0.2">
      <c r="A2822" s="18"/>
      <c r="B2822" s="137"/>
    </row>
    <row r="2823" spans="1:2" ht="15" customHeight="1" x14ac:dyDescent="0.2">
      <c r="A2823" s="18"/>
      <c r="B2823" s="137"/>
    </row>
    <row r="2824" spans="1:2" ht="15" customHeight="1" x14ac:dyDescent="0.2">
      <c r="A2824" s="18"/>
      <c r="B2824" s="137"/>
    </row>
    <row r="2825" spans="1:2" ht="15" customHeight="1" x14ac:dyDescent="0.2">
      <c r="A2825" s="18"/>
      <c r="B2825" s="137"/>
    </row>
    <row r="2826" spans="1:2" ht="15" customHeight="1" x14ac:dyDescent="0.2">
      <c r="A2826" s="18"/>
      <c r="B2826" s="137"/>
    </row>
    <row r="2827" spans="1:2" ht="15" customHeight="1" x14ac:dyDescent="0.2">
      <c r="A2827" s="18"/>
      <c r="B2827" s="137"/>
    </row>
    <row r="2828" spans="1:2" ht="15" customHeight="1" x14ac:dyDescent="0.2">
      <c r="A2828" s="18"/>
      <c r="B2828" s="137"/>
    </row>
    <row r="2829" spans="1:2" ht="15" customHeight="1" x14ac:dyDescent="0.2">
      <c r="A2829" s="18"/>
      <c r="B2829" s="137"/>
    </row>
    <row r="2830" spans="1:2" ht="15" customHeight="1" x14ac:dyDescent="0.2">
      <c r="A2830" s="18"/>
      <c r="B2830" s="137"/>
    </row>
    <row r="2831" spans="1:2" ht="15" customHeight="1" x14ac:dyDescent="0.2">
      <c r="A2831" s="18"/>
      <c r="B2831" s="137"/>
    </row>
    <row r="2832" spans="1:2" ht="15" customHeight="1" x14ac:dyDescent="0.2">
      <c r="A2832" s="18"/>
      <c r="B2832" s="137"/>
    </row>
    <row r="2833" spans="1:2" ht="15" customHeight="1" x14ac:dyDescent="0.2">
      <c r="A2833" s="18"/>
      <c r="B2833" s="137"/>
    </row>
    <row r="2834" spans="1:2" ht="15" customHeight="1" x14ac:dyDescent="0.2">
      <c r="A2834" s="18"/>
      <c r="B2834" s="137"/>
    </row>
    <row r="2835" spans="1:2" ht="15" customHeight="1" x14ac:dyDescent="0.2">
      <c r="A2835" s="18"/>
      <c r="B2835" s="137"/>
    </row>
    <row r="2836" spans="1:2" ht="15" customHeight="1" x14ac:dyDescent="0.2">
      <c r="A2836" s="18"/>
      <c r="B2836" s="137"/>
    </row>
    <row r="2837" spans="1:2" ht="15" customHeight="1" x14ac:dyDescent="0.2">
      <c r="A2837" s="18"/>
      <c r="B2837" s="137"/>
    </row>
    <row r="2838" spans="1:2" ht="15" customHeight="1" x14ac:dyDescent="0.2">
      <c r="A2838" s="18"/>
      <c r="B2838" s="137"/>
    </row>
    <row r="2839" spans="1:2" ht="15" customHeight="1" x14ac:dyDescent="0.2">
      <c r="A2839" s="18"/>
      <c r="B2839" s="137"/>
    </row>
    <row r="2840" spans="1:2" ht="15" customHeight="1" x14ac:dyDescent="0.2">
      <c r="A2840" s="18"/>
      <c r="B2840" s="137"/>
    </row>
    <row r="2841" spans="1:2" ht="15" customHeight="1" x14ac:dyDescent="0.2">
      <c r="A2841" s="18"/>
      <c r="B2841" s="137"/>
    </row>
    <row r="2842" spans="1:2" ht="15" customHeight="1" x14ac:dyDescent="0.2">
      <c r="A2842" s="18"/>
      <c r="B2842" s="137"/>
    </row>
    <row r="2843" spans="1:2" ht="15" customHeight="1" x14ac:dyDescent="0.2">
      <c r="A2843" s="18"/>
      <c r="B2843" s="137"/>
    </row>
    <row r="2844" spans="1:2" ht="15" customHeight="1" x14ac:dyDescent="0.2">
      <c r="A2844" s="18"/>
      <c r="B2844" s="137"/>
    </row>
    <row r="2845" spans="1:2" ht="15" customHeight="1" x14ac:dyDescent="0.2">
      <c r="A2845" s="18"/>
      <c r="B2845" s="137"/>
    </row>
    <row r="2846" spans="1:2" ht="15" customHeight="1" x14ac:dyDescent="0.2">
      <c r="A2846" s="18"/>
      <c r="B2846" s="137"/>
    </row>
    <row r="2847" spans="1:2" ht="15" customHeight="1" x14ac:dyDescent="0.2">
      <c r="A2847" s="18"/>
      <c r="B2847" s="137"/>
    </row>
    <row r="2848" spans="1:2" ht="15" customHeight="1" x14ac:dyDescent="0.2">
      <c r="A2848" s="18"/>
      <c r="B2848" s="137"/>
    </row>
    <row r="2849" spans="1:2" ht="15" customHeight="1" x14ac:dyDescent="0.2">
      <c r="A2849" s="18"/>
      <c r="B2849" s="137"/>
    </row>
    <row r="2850" spans="1:2" ht="15" customHeight="1" x14ac:dyDescent="0.2">
      <c r="A2850" s="18"/>
      <c r="B2850" s="137"/>
    </row>
    <row r="2851" spans="1:2" ht="15" customHeight="1" x14ac:dyDescent="0.2">
      <c r="A2851" s="18"/>
      <c r="B2851" s="137"/>
    </row>
    <row r="2852" spans="1:2" ht="15" customHeight="1" x14ac:dyDescent="0.2">
      <c r="A2852" s="18"/>
      <c r="B2852" s="137"/>
    </row>
    <row r="2853" spans="1:2" ht="15" customHeight="1" x14ac:dyDescent="0.2">
      <c r="A2853" s="18"/>
      <c r="B2853" s="137"/>
    </row>
    <row r="2854" spans="1:2" ht="15" customHeight="1" x14ac:dyDescent="0.2">
      <c r="A2854" s="18"/>
      <c r="B2854" s="137"/>
    </row>
    <row r="2855" spans="1:2" ht="15" customHeight="1" x14ac:dyDescent="0.2">
      <c r="A2855" s="18"/>
      <c r="B2855" s="137"/>
    </row>
    <row r="2856" spans="1:2" ht="15" customHeight="1" x14ac:dyDescent="0.2">
      <c r="A2856" s="18"/>
      <c r="B2856" s="137"/>
    </row>
    <row r="2857" spans="1:2" ht="15" customHeight="1" x14ac:dyDescent="0.2">
      <c r="A2857" s="18"/>
      <c r="B2857" s="137"/>
    </row>
    <row r="2858" spans="1:2" ht="15" customHeight="1" x14ac:dyDescent="0.2">
      <c r="A2858" s="18"/>
      <c r="B2858" s="137"/>
    </row>
    <row r="2859" spans="1:2" ht="15" customHeight="1" x14ac:dyDescent="0.2">
      <c r="A2859" s="18"/>
      <c r="B2859" s="137"/>
    </row>
    <row r="2860" spans="1:2" ht="15" customHeight="1" x14ac:dyDescent="0.2">
      <c r="A2860" s="18"/>
      <c r="B2860" s="137"/>
    </row>
    <row r="2861" spans="1:2" ht="15" customHeight="1" x14ac:dyDescent="0.2">
      <c r="A2861" s="18"/>
      <c r="B2861" s="137"/>
    </row>
    <row r="2862" spans="1:2" ht="15" customHeight="1" x14ac:dyDescent="0.2">
      <c r="A2862" s="18"/>
      <c r="B2862" s="137"/>
    </row>
    <row r="2863" spans="1:2" ht="15" customHeight="1" x14ac:dyDescent="0.2">
      <c r="A2863" s="18"/>
      <c r="B2863" s="137"/>
    </row>
    <row r="2864" spans="1:2" ht="15" customHeight="1" x14ac:dyDescent="0.2">
      <c r="A2864" s="18"/>
      <c r="B2864" s="137"/>
    </row>
    <row r="2865" spans="1:2" ht="15" customHeight="1" x14ac:dyDescent="0.2">
      <c r="A2865" s="18"/>
      <c r="B2865" s="137"/>
    </row>
    <row r="2866" spans="1:2" ht="15" customHeight="1" x14ac:dyDescent="0.2">
      <c r="A2866" s="18"/>
      <c r="B2866" s="137"/>
    </row>
    <row r="2867" spans="1:2" ht="15" customHeight="1" x14ac:dyDescent="0.2">
      <c r="A2867" s="18"/>
      <c r="B2867" s="137"/>
    </row>
    <row r="2868" spans="1:2" ht="15" customHeight="1" x14ac:dyDescent="0.2">
      <c r="A2868" s="18"/>
      <c r="B2868" s="137"/>
    </row>
    <row r="2869" spans="1:2" ht="15" customHeight="1" x14ac:dyDescent="0.2">
      <c r="A2869" s="18"/>
      <c r="B2869" s="137"/>
    </row>
    <row r="2870" spans="1:2" ht="15" customHeight="1" x14ac:dyDescent="0.2">
      <c r="A2870" s="18"/>
      <c r="B2870" s="137"/>
    </row>
    <row r="2871" spans="1:2" ht="15" customHeight="1" x14ac:dyDescent="0.2">
      <c r="A2871" s="18"/>
      <c r="B2871" s="137"/>
    </row>
    <row r="2872" spans="1:2" ht="15" customHeight="1" x14ac:dyDescent="0.2">
      <c r="A2872" s="18"/>
      <c r="B2872" s="137"/>
    </row>
    <row r="2873" spans="1:2" ht="15" customHeight="1" x14ac:dyDescent="0.2">
      <c r="A2873" s="18"/>
      <c r="B2873" s="137"/>
    </row>
    <row r="2874" spans="1:2" ht="15" customHeight="1" x14ac:dyDescent="0.2">
      <c r="A2874" s="18"/>
      <c r="B2874" s="137"/>
    </row>
    <row r="2875" spans="1:2" ht="15" customHeight="1" x14ac:dyDescent="0.2">
      <c r="A2875" s="18"/>
      <c r="B2875" s="137"/>
    </row>
    <row r="2876" spans="1:2" ht="15" customHeight="1" x14ac:dyDescent="0.2">
      <c r="A2876" s="18"/>
      <c r="B2876" s="137"/>
    </row>
    <row r="2877" spans="1:2" ht="15" customHeight="1" x14ac:dyDescent="0.2">
      <c r="A2877" s="18"/>
      <c r="B2877" s="137"/>
    </row>
    <row r="2878" spans="1:2" ht="15" customHeight="1" x14ac:dyDescent="0.2">
      <c r="A2878" s="18"/>
      <c r="B2878" s="137"/>
    </row>
    <row r="2879" spans="1:2" ht="15" customHeight="1" x14ac:dyDescent="0.2">
      <c r="A2879" s="18"/>
      <c r="B2879" s="137"/>
    </row>
    <row r="2880" spans="1:2" ht="15" customHeight="1" x14ac:dyDescent="0.2">
      <c r="A2880" s="18"/>
      <c r="B2880" s="137"/>
    </row>
    <row r="2881" spans="1:2" ht="15" customHeight="1" x14ac:dyDescent="0.2">
      <c r="A2881" s="18"/>
      <c r="B2881" s="137"/>
    </row>
    <row r="2882" spans="1:2" ht="15" customHeight="1" x14ac:dyDescent="0.2">
      <c r="A2882" s="18"/>
      <c r="B2882" s="137"/>
    </row>
    <row r="2883" spans="1:2" ht="15" customHeight="1" x14ac:dyDescent="0.2">
      <c r="A2883" s="18"/>
      <c r="B2883" s="137"/>
    </row>
    <row r="2884" spans="1:2" ht="15" customHeight="1" x14ac:dyDescent="0.2">
      <c r="A2884" s="18"/>
      <c r="B2884" s="137"/>
    </row>
    <row r="2885" spans="1:2" ht="15" customHeight="1" x14ac:dyDescent="0.2">
      <c r="A2885" s="18"/>
      <c r="B2885" s="137"/>
    </row>
    <row r="2886" spans="1:2" ht="15" customHeight="1" x14ac:dyDescent="0.2">
      <c r="A2886" s="18"/>
      <c r="B2886" s="137"/>
    </row>
    <row r="2887" spans="1:2" ht="15" customHeight="1" x14ac:dyDescent="0.2">
      <c r="A2887" s="18"/>
      <c r="B2887" s="137"/>
    </row>
    <row r="2888" spans="1:2" ht="15" customHeight="1" x14ac:dyDescent="0.2">
      <c r="A2888" s="18"/>
      <c r="B2888" s="137"/>
    </row>
    <row r="2889" spans="1:2" ht="15" customHeight="1" x14ac:dyDescent="0.2">
      <c r="A2889" s="18"/>
      <c r="B2889" s="137"/>
    </row>
    <row r="2890" spans="1:2" ht="15" customHeight="1" x14ac:dyDescent="0.2">
      <c r="A2890" s="18"/>
      <c r="B2890" s="137"/>
    </row>
    <row r="2891" spans="1:2" ht="15" customHeight="1" x14ac:dyDescent="0.2">
      <c r="A2891" s="18"/>
      <c r="B2891" s="137"/>
    </row>
    <row r="2892" spans="1:2" ht="15" customHeight="1" x14ac:dyDescent="0.2">
      <c r="A2892" s="18"/>
      <c r="B2892" s="137"/>
    </row>
    <row r="2893" spans="1:2" ht="15" customHeight="1" x14ac:dyDescent="0.2">
      <c r="A2893" s="18"/>
      <c r="B2893" s="137"/>
    </row>
    <row r="2894" spans="1:2" ht="15" customHeight="1" x14ac:dyDescent="0.2">
      <c r="A2894" s="18"/>
      <c r="B2894" s="137"/>
    </row>
    <row r="2895" spans="1:2" ht="15" customHeight="1" x14ac:dyDescent="0.2">
      <c r="A2895" s="18"/>
      <c r="B2895" s="137"/>
    </row>
    <row r="2896" spans="1:2" ht="15" customHeight="1" x14ac:dyDescent="0.2">
      <c r="A2896" s="18"/>
      <c r="B2896" s="137"/>
    </row>
    <row r="2897" spans="1:2" ht="15" customHeight="1" x14ac:dyDescent="0.2">
      <c r="A2897" s="18"/>
      <c r="B2897" s="137"/>
    </row>
    <row r="2898" spans="1:2" ht="15" customHeight="1" x14ac:dyDescent="0.2">
      <c r="A2898" s="18"/>
      <c r="B2898" s="137"/>
    </row>
    <row r="2899" spans="1:2" ht="15" customHeight="1" x14ac:dyDescent="0.2">
      <c r="A2899" s="18"/>
      <c r="B2899" s="137"/>
    </row>
    <row r="2900" spans="1:2" ht="15" customHeight="1" x14ac:dyDescent="0.2">
      <c r="A2900" s="18"/>
      <c r="B2900" s="137"/>
    </row>
    <row r="2901" spans="1:2" ht="15" customHeight="1" x14ac:dyDescent="0.2">
      <c r="A2901" s="18"/>
      <c r="B2901" s="137"/>
    </row>
    <row r="2902" spans="1:2" ht="15" customHeight="1" x14ac:dyDescent="0.2">
      <c r="A2902" s="18"/>
      <c r="B2902" s="137"/>
    </row>
    <row r="2903" spans="1:2" ht="15" customHeight="1" x14ac:dyDescent="0.2">
      <c r="A2903" s="18"/>
      <c r="B2903" s="137"/>
    </row>
    <row r="2904" spans="1:2" ht="15" customHeight="1" x14ac:dyDescent="0.2">
      <c r="A2904" s="18"/>
      <c r="B2904" s="137"/>
    </row>
    <row r="2905" spans="1:2" ht="15" customHeight="1" x14ac:dyDescent="0.2">
      <c r="A2905" s="18"/>
      <c r="B2905" s="137"/>
    </row>
    <row r="2906" spans="1:2" ht="15" customHeight="1" x14ac:dyDescent="0.2">
      <c r="A2906" s="18"/>
      <c r="B2906" s="137"/>
    </row>
    <row r="2907" spans="1:2" ht="15" customHeight="1" x14ac:dyDescent="0.2">
      <c r="A2907" s="18"/>
      <c r="B2907" s="137"/>
    </row>
    <row r="2908" spans="1:2" ht="15" customHeight="1" x14ac:dyDescent="0.2">
      <c r="A2908" s="18"/>
      <c r="B2908" s="137"/>
    </row>
    <row r="2909" spans="1:2" ht="15" customHeight="1" x14ac:dyDescent="0.2">
      <c r="A2909" s="18"/>
      <c r="B2909" s="137"/>
    </row>
    <row r="2910" spans="1:2" ht="15" customHeight="1" x14ac:dyDescent="0.2">
      <c r="A2910" s="18"/>
      <c r="B2910" s="137"/>
    </row>
    <row r="2911" spans="1:2" ht="15" customHeight="1" x14ac:dyDescent="0.2">
      <c r="A2911" s="18"/>
      <c r="B2911" s="137"/>
    </row>
    <row r="2912" spans="1:2" ht="15" customHeight="1" x14ac:dyDescent="0.2">
      <c r="A2912" s="18"/>
      <c r="B2912" s="137"/>
    </row>
    <row r="2913" spans="1:2" ht="15" customHeight="1" x14ac:dyDescent="0.2">
      <c r="A2913" s="18"/>
      <c r="B2913" s="137"/>
    </row>
    <row r="2914" spans="1:2" ht="15" customHeight="1" x14ac:dyDescent="0.2">
      <c r="A2914" s="18"/>
      <c r="B2914" s="137"/>
    </row>
    <row r="2915" spans="1:2" ht="15" customHeight="1" x14ac:dyDescent="0.2">
      <c r="A2915" s="18"/>
      <c r="B2915" s="137"/>
    </row>
    <row r="2916" spans="1:2" ht="15" customHeight="1" x14ac:dyDescent="0.2">
      <c r="A2916" s="18"/>
      <c r="B2916" s="137"/>
    </row>
    <row r="2917" spans="1:2" ht="15" customHeight="1" x14ac:dyDescent="0.2">
      <c r="A2917" s="18"/>
      <c r="B2917" s="137"/>
    </row>
    <row r="2918" spans="1:2" ht="15" customHeight="1" x14ac:dyDescent="0.2">
      <c r="A2918" s="18"/>
      <c r="B2918" s="137"/>
    </row>
    <row r="2919" spans="1:2" ht="15" customHeight="1" x14ac:dyDescent="0.2">
      <c r="A2919" s="18"/>
      <c r="B2919" s="137"/>
    </row>
    <row r="2920" spans="1:2" ht="15" customHeight="1" x14ac:dyDescent="0.2">
      <c r="A2920" s="18"/>
      <c r="B2920" s="137"/>
    </row>
    <row r="2921" spans="1:2" ht="15" customHeight="1" x14ac:dyDescent="0.2">
      <c r="A2921" s="18"/>
      <c r="B2921" s="137"/>
    </row>
    <row r="2922" spans="1:2" ht="15" customHeight="1" x14ac:dyDescent="0.2">
      <c r="A2922" s="18"/>
      <c r="B2922" s="137"/>
    </row>
    <row r="2923" spans="1:2" ht="15" customHeight="1" x14ac:dyDescent="0.2">
      <c r="A2923" s="18"/>
      <c r="B2923" s="137"/>
    </row>
    <row r="2924" spans="1:2" ht="15" customHeight="1" x14ac:dyDescent="0.2">
      <c r="A2924" s="18"/>
      <c r="B2924" s="137"/>
    </row>
    <row r="2925" spans="1:2" ht="15" customHeight="1" x14ac:dyDescent="0.2">
      <c r="A2925" s="18"/>
      <c r="B2925" s="137"/>
    </row>
    <row r="2926" spans="1:2" ht="15" customHeight="1" x14ac:dyDescent="0.2">
      <c r="A2926" s="18"/>
      <c r="B2926" s="137"/>
    </row>
    <row r="2927" spans="1:2" ht="15" customHeight="1" x14ac:dyDescent="0.2">
      <c r="A2927" s="18"/>
      <c r="B2927" s="137"/>
    </row>
    <row r="2928" spans="1:2" ht="15" customHeight="1" x14ac:dyDescent="0.2">
      <c r="A2928" s="18"/>
      <c r="B2928" s="137"/>
    </row>
    <row r="2929" spans="1:2" ht="15" customHeight="1" x14ac:dyDescent="0.2">
      <c r="A2929" s="18"/>
      <c r="B2929" s="137"/>
    </row>
    <row r="2930" spans="1:2" ht="15" customHeight="1" x14ac:dyDescent="0.2">
      <c r="A2930" s="18"/>
      <c r="B2930" s="137"/>
    </row>
    <row r="2931" spans="1:2" ht="15" customHeight="1" x14ac:dyDescent="0.2">
      <c r="A2931" s="18"/>
      <c r="B2931" s="137"/>
    </row>
    <row r="2932" spans="1:2" ht="15" customHeight="1" x14ac:dyDescent="0.2">
      <c r="A2932" s="18"/>
      <c r="B2932" s="137"/>
    </row>
    <row r="2933" spans="1:2" ht="15" customHeight="1" x14ac:dyDescent="0.2">
      <c r="A2933" s="18"/>
      <c r="B2933" s="137"/>
    </row>
    <row r="2934" spans="1:2" ht="15" customHeight="1" x14ac:dyDescent="0.2">
      <c r="A2934" s="18"/>
      <c r="B2934" s="137"/>
    </row>
    <row r="2935" spans="1:2" ht="15" customHeight="1" x14ac:dyDescent="0.2">
      <c r="A2935" s="18"/>
      <c r="B2935" s="137"/>
    </row>
    <row r="2936" spans="1:2" ht="15" customHeight="1" x14ac:dyDescent="0.2">
      <c r="A2936" s="18"/>
      <c r="B2936" s="137"/>
    </row>
    <row r="2937" spans="1:2" ht="15" customHeight="1" x14ac:dyDescent="0.2">
      <c r="A2937" s="18"/>
      <c r="B2937" s="137"/>
    </row>
    <row r="2938" spans="1:2" ht="15" customHeight="1" x14ac:dyDescent="0.2">
      <c r="A2938" s="18"/>
      <c r="B2938" s="137"/>
    </row>
    <row r="2939" spans="1:2" ht="15" customHeight="1" x14ac:dyDescent="0.2">
      <c r="A2939" s="18"/>
      <c r="B2939" s="137"/>
    </row>
    <row r="2940" spans="1:2" ht="15" customHeight="1" x14ac:dyDescent="0.2">
      <c r="A2940" s="18"/>
      <c r="B2940" s="137"/>
    </row>
    <row r="2941" spans="1:2" ht="15" customHeight="1" x14ac:dyDescent="0.2">
      <c r="A2941" s="18"/>
      <c r="B2941" s="137"/>
    </row>
    <row r="2942" spans="1:2" ht="15" customHeight="1" x14ac:dyDescent="0.2">
      <c r="A2942" s="18"/>
      <c r="B2942" s="137"/>
    </row>
    <row r="2943" spans="1:2" ht="15" customHeight="1" x14ac:dyDescent="0.2">
      <c r="A2943" s="18"/>
      <c r="B2943" s="137"/>
    </row>
    <row r="2944" spans="1:2" ht="15" customHeight="1" x14ac:dyDescent="0.2">
      <c r="A2944" s="18"/>
      <c r="B2944" s="137"/>
    </row>
    <row r="2945" spans="1:2" ht="15" customHeight="1" x14ac:dyDescent="0.2">
      <c r="A2945" s="18"/>
      <c r="B2945" s="137"/>
    </row>
    <row r="2946" spans="1:2" ht="15" customHeight="1" x14ac:dyDescent="0.2">
      <c r="A2946" s="18"/>
      <c r="B2946" s="137"/>
    </row>
    <row r="2947" spans="1:2" ht="15" customHeight="1" x14ac:dyDescent="0.2">
      <c r="A2947" s="18"/>
      <c r="B2947" s="137"/>
    </row>
    <row r="2948" spans="1:2" ht="15" customHeight="1" x14ac:dyDescent="0.2">
      <c r="A2948" s="18"/>
      <c r="B2948" s="137"/>
    </row>
    <row r="2949" spans="1:2" ht="15" customHeight="1" x14ac:dyDescent="0.2">
      <c r="A2949" s="18"/>
      <c r="B2949" s="137"/>
    </row>
    <row r="2950" spans="1:2" ht="15" customHeight="1" x14ac:dyDescent="0.2">
      <c r="A2950" s="18"/>
      <c r="B2950" s="137"/>
    </row>
    <row r="2951" spans="1:2" ht="15" customHeight="1" x14ac:dyDescent="0.2">
      <c r="A2951" s="18"/>
      <c r="B2951" s="137"/>
    </row>
    <row r="2952" spans="1:2" ht="15" customHeight="1" x14ac:dyDescent="0.2">
      <c r="A2952" s="18"/>
      <c r="B2952" s="137"/>
    </row>
    <row r="2953" spans="1:2" ht="15" customHeight="1" x14ac:dyDescent="0.2">
      <c r="A2953" s="18"/>
      <c r="B2953" s="137"/>
    </row>
    <row r="2954" spans="1:2" ht="15" customHeight="1" x14ac:dyDescent="0.2">
      <c r="A2954" s="18"/>
      <c r="B2954" s="137"/>
    </row>
    <row r="2955" spans="1:2" ht="15" customHeight="1" x14ac:dyDescent="0.2">
      <c r="A2955" s="18"/>
      <c r="B2955" s="137"/>
    </row>
    <row r="2956" spans="1:2" ht="15" customHeight="1" x14ac:dyDescent="0.2">
      <c r="A2956" s="18"/>
      <c r="B2956" s="137"/>
    </row>
    <row r="2957" spans="1:2" ht="15" customHeight="1" x14ac:dyDescent="0.2">
      <c r="A2957" s="18"/>
      <c r="B2957" s="137"/>
    </row>
    <row r="2958" spans="1:2" ht="15" customHeight="1" x14ac:dyDescent="0.2">
      <c r="A2958" s="18"/>
      <c r="B2958" s="137"/>
    </row>
    <row r="2959" spans="1:2" ht="15" customHeight="1" x14ac:dyDescent="0.2">
      <c r="A2959" s="18"/>
      <c r="B2959" s="137"/>
    </row>
    <row r="2960" spans="1:2" ht="15" customHeight="1" x14ac:dyDescent="0.2">
      <c r="A2960" s="18"/>
      <c r="B2960" s="137"/>
    </row>
    <row r="2961" spans="1:2" ht="15" customHeight="1" x14ac:dyDescent="0.2">
      <c r="A2961" s="18"/>
      <c r="B2961" s="137"/>
    </row>
    <row r="2962" spans="1:2" ht="15" customHeight="1" x14ac:dyDescent="0.2">
      <c r="A2962" s="18"/>
      <c r="B2962" s="137"/>
    </row>
    <row r="2963" spans="1:2" ht="15" customHeight="1" x14ac:dyDescent="0.2">
      <c r="A2963" s="18"/>
      <c r="B2963" s="137"/>
    </row>
    <row r="2964" spans="1:2" ht="15" customHeight="1" x14ac:dyDescent="0.2">
      <c r="A2964" s="18"/>
      <c r="B2964" s="137"/>
    </row>
    <row r="2965" spans="1:2" ht="15" customHeight="1" x14ac:dyDescent="0.2">
      <c r="A2965" s="18"/>
      <c r="B2965" s="137"/>
    </row>
    <row r="2966" spans="1:2" ht="15" customHeight="1" x14ac:dyDescent="0.2">
      <c r="A2966" s="18"/>
      <c r="B2966" s="137"/>
    </row>
    <row r="2967" spans="1:2" ht="15" customHeight="1" x14ac:dyDescent="0.2">
      <c r="A2967" s="18"/>
      <c r="B2967" s="137"/>
    </row>
    <row r="2968" spans="1:2" ht="15" customHeight="1" x14ac:dyDescent="0.2">
      <c r="A2968" s="18"/>
      <c r="B2968" s="137"/>
    </row>
    <row r="2969" spans="1:2" ht="15" customHeight="1" x14ac:dyDescent="0.2">
      <c r="A2969" s="18"/>
      <c r="B2969" s="137"/>
    </row>
    <row r="2970" spans="1:2" ht="15" customHeight="1" x14ac:dyDescent="0.2">
      <c r="A2970" s="18"/>
      <c r="B2970" s="137"/>
    </row>
    <row r="2971" spans="1:2" ht="15" customHeight="1" x14ac:dyDescent="0.2">
      <c r="A2971" s="18"/>
      <c r="B2971" s="137"/>
    </row>
    <row r="2972" spans="1:2" ht="15" customHeight="1" x14ac:dyDescent="0.2">
      <c r="A2972" s="18"/>
      <c r="B2972" s="137"/>
    </row>
    <row r="2973" spans="1:2" ht="15" customHeight="1" x14ac:dyDescent="0.2">
      <c r="A2973" s="18"/>
      <c r="B2973" s="137"/>
    </row>
    <row r="2974" spans="1:2" ht="15" customHeight="1" x14ac:dyDescent="0.2">
      <c r="A2974" s="18"/>
      <c r="B2974" s="137"/>
    </row>
    <row r="2975" spans="1:2" ht="15" customHeight="1" x14ac:dyDescent="0.2">
      <c r="A2975" s="18"/>
      <c r="B2975" s="137"/>
    </row>
    <row r="2976" spans="1:2" ht="15" customHeight="1" x14ac:dyDescent="0.2">
      <c r="A2976" s="18"/>
      <c r="B2976" s="137"/>
    </row>
    <row r="2977" spans="1:2" ht="15" customHeight="1" x14ac:dyDescent="0.2">
      <c r="A2977" s="18"/>
      <c r="B2977" s="137"/>
    </row>
    <row r="2978" spans="1:2" ht="15" customHeight="1" x14ac:dyDescent="0.2">
      <c r="A2978" s="18"/>
      <c r="B2978" s="137"/>
    </row>
    <row r="2979" spans="1:2" ht="15" customHeight="1" x14ac:dyDescent="0.2">
      <c r="A2979" s="18"/>
      <c r="B2979" s="137"/>
    </row>
    <row r="2980" spans="1:2" ht="15" customHeight="1" x14ac:dyDescent="0.2">
      <c r="A2980" s="18"/>
      <c r="B2980" s="137"/>
    </row>
    <row r="2981" spans="1:2" ht="15" customHeight="1" x14ac:dyDescent="0.2">
      <c r="A2981" s="18"/>
      <c r="B2981" s="137"/>
    </row>
    <row r="2982" spans="1:2" ht="15" customHeight="1" x14ac:dyDescent="0.2">
      <c r="A2982" s="18"/>
      <c r="B2982" s="137"/>
    </row>
    <row r="2983" spans="1:2" ht="15" customHeight="1" x14ac:dyDescent="0.2">
      <c r="A2983" s="18"/>
      <c r="B2983" s="137"/>
    </row>
    <row r="2984" spans="1:2" ht="15" customHeight="1" x14ac:dyDescent="0.2">
      <c r="A2984" s="18"/>
      <c r="B2984" s="137"/>
    </row>
    <row r="2985" spans="1:2" ht="15" customHeight="1" x14ac:dyDescent="0.2">
      <c r="A2985" s="18"/>
      <c r="B2985" s="137"/>
    </row>
    <row r="2986" spans="1:2" ht="15" customHeight="1" x14ac:dyDescent="0.2">
      <c r="A2986" s="18"/>
      <c r="B2986" s="137"/>
    </row>
    <row r="2987" spans="1:2" ht="15" customHeight="1" x14ac:dyDescent="0.2">
      <c r="A2987" s="18"/>
      <c r="B2987" s="137"/>
    </row>
    <row r="2988" spans="1:2" ht="15" customHeight="1" x14ac:dyDescent="0.2">
      <c r="A2988" s="18"/>
      <c r="B2988" s="137"/>
    </row>
    <row r="2989" spans="1:2" ht="15" customHeight="1" x14ac:dyDescent="0.2">
      <c r="A2989" s="18"/>
      <c r="B2989" s="137"/>
    </row>
    <row r="2990" spans="1:2" ht="15" customHeight="1" x14ac:dyDescent="0.2">
      <c r="A2990" s="18"/>
      <c r="B2990" s="137"/>
    </row>
    <row r="2991" spans="1:2" ht="15" customHeight="1" x14ac:dyDescent="0.2">
      <c r="A2991" s="18"/>
      <c r="B2991" s="137"/>
    </row>
    <row r="2992" spans="1:2" ht="15" customHeight="1" x14ac:dyDescent="0.2">
      <c r="A2992" s="18"/>
      <c r="B2992" s="137"/>
    </row>
    <row r="2993" spans="1:2" ht="15" customHeight="1" x14ac:dyDescent="0.2">
      <c r="A2993" s="18"/>
      <c r="B2993" s="137"/>
    </row>
    <row r="2994" spans="1:2" ht="15" customHeight="1" x14ac:dyDescent="0.2">
      <c r="A2994" s="18"/>
      <c r="B2994" s="137"/>
    </row>
    <row r="2995" spans="1:2" ht="15" customHeight="1" x14ac:dyDescent="0.2">
      <c r="A2995" s="18"/>
      <c r="B2995" s="137"/>
    </row>
    <row r="2996" spans="1:2" ht="15" customHeight="1" x14ac:dyDescent="0.2">
      <c r="A2996" s="18"/>
      <c r="B2996" s="137"/>
    </row>
    <row r="2997" spans="1:2" ht="15" customHeight="1" x14ac:dyDescent="0.2">
      <c r="A2997" s="18"/>
      <c r="B2997" s="137"/>
    </row>
    <row r="2998" spans="1:2" ht="15" customHeight="1" x14ac:dyDescent="0.2">
      <c r="A2998" s="18"/>
      <c r="B2998" s="137"/>
    </row>
    <row r="2999" spans="1:2" ht="15" customHeight="1" x14ac:dyDescent="0.2">
      <c r="A2999" s="18"/>
      <c r="B2999" s="137"/>
    </row>
    <row r="3000" spans="1:2" ht="15" customHeight="1" x14ac:dyDescent="0.2">
      <c r="A3000" s="18"/>
      <c r="B3000" s="137"/>
    </row>
    <row r="3001" spans="1:2" ht="15" customHeight="1" x14ac:dyDescent="0.2">
      <c r="A3001" s="18"/>
      <c r="B3001" s="137"/>
    </row>
    <row r="3002" spans="1:2" ht="15" customHeight="1" x14ac:dyDescent="0.2">
      <c r="A3002" s="18"/>
      <c r="B3002" s="137"/>
    </row>
    <row r="3003" spans="1:2" ht="15" customHeight="1" x14ac:dyDescent="0.2">
      <c r="A3003" s="18"/>
      <c r="B3003" s="137"/>
    </row>
    <row r="3004" spans="1:2" ht="15" customHeight="1" x14ac:dyDescent="0.2">
      <c r="A3004" s="18"/>
      <c r="B3004" s="137"/>
    </row>
    <row r="3005" spans="1:2" ht="15" customHeight="1" x14ac:dyDescent="0.2">
      <c r="A3005" s="18"/>
      <c r="B3005" s="137"/>
    </row>
    <row r="3006" spans="1:2" ht="15" customHeight="1" x14ac:dyDescent="0.2">
      <c r="A3006" s="18"/>
      <c r="B3006" s="137"/>
    </row>
    <row r="3007" spans="1:2" ht="15" customHeight="1" x14ac:dyDescent="0.2">
      <c r="A3007" s="18"/>
      <c r="B3007" s="137"/>
    </row>
    <row r="3008" spans="1:2" ht="15" customHeight="1" x14ac:dyDescent="0.2">
      <c r="A3008" s="18"/>
      <c r="B3008" s="137"/>
    </row>
    <row r="3009" spans="1:2" ht="15" customHeight="1" x14ac:dyDescent="0.2">
      <c r="A3009" s="18"/>
      <c r="B3009" s="137"/>
    </row>
    <row r="3010" spans="1:2" ht="15" customHeight="1" x14ac:dyDescent="0.2">
      <c r="A3010" s="18"/>
      <c r="B3010" s="137"/>
    </row>
    <row r="3011" spans="1:2" ht="15" customHeight="1" x14ac:dyDescent="0.2">
      <c r="A3011" s="18"/>
      <c r="B3011" s="137"/>
    </row>
    <row r="3012" spans="1:2" ht="15" customHeight="1" x14ac:dyDescent="0.2">
      <c r="A3012" s="18"/>
      <c r="B3012" s="137"/>
    </row>
    <row r="3013" spans="1:2" ht="15" customHeight="1" x14ac:dyDescent="0.2">
      <c r="A3013" s="18"/>
      <c r="B3013" s="137"/>
    </row>
    <row r="3014" spans="1:2" ht="15" customHeight="1" x14ac:dyDescent="0.2">
      <c r="A3014" s="18"/>
      <c r="B3014" s="137"/>
    </row>
    <row r="3015" spans="1:2" ht="15" customHeight="1" x14ac:dyDescent="0.2">
      <c r="A3015" s="18"/>
      <c r="B3015" s="137"/>
    </row>
    <row r="3016" spans="1:2" ht="15" customHeight="1" x14ac:dyDescent="0.2">
      <c r="A3016" s="18"/>
      <c r="B3016" s="137"/>
    </row>
    <row r="3017" spans="1:2" ht="15" customHeight="1" x14ac:dyDescent="0.2">
      <c r="A3017" s="18"/>
      <c r="B3017" s="137"/>
    </row>
    <row r="3018" spans="1:2" ht="15" customHeight="1" x14ac:dyDescent="0.2">
      <c r="A3018" s="18"/>
      <c r="B3018" s="137"/>
    </row>
    <row r="3019" spans="1:2" ht="15" customHeight="1" x14ac:dyDescent="0.2">
      <c r="A3019" s="18"/>
      <c r="B3019" s="137"/>
    </row>
    <row r="3020" spans="1:2" ht="15" customHeight="1" x14ac:dyDescent="0.2">
      <c r="A3020" s="18"/>
      <c r="B3020" s="137"/>
    </row>
    <row r="3021" spans="1:2" ht="15" customHeight="1" x14ac:dyDescent="0.2">
      <c r="A3021" s="18"/>
      <c r="B3021" s="137"/>
    </row>
    <row r="3022" spans="1:2" ht="15" customHeight="1" x14ac:dyDescent="0.2">
      <c r="A3022" s="18"/>
      <c r="B3022" s="137"/>
    </row>
    <row r="3023" spans="1:2" ht="15" customHeight="1" x14ac:dyDescent="0.2">
      <c r="A3023" s="18"/>
      <c r="B3023" s="137"/>
    </row>
    <row r="3024" spans="1:2" ht="15" customHeight="1" x14ac:dyDescent="0.2">
      <c r="A3024" s="18"/>
      <c r="B3024" s="137"/>
    </row>
    <row r="3025" spans="1:2" ht="15" customHeight="1" x14ac:dyDescent="0.2">
      <c r="A3025" s="18"/>
      <c r="B3025" s="137"/>
    </row>
    <row r="3026" spans="1:2" ht="15" customHeight="1" x14ac:dyDescent="0.2">
      <c r="A3026" s="18"/>
      <c r="B3026" s="137"/>
    </row>
    <row r="3027" spans="1:2" ht="15" customHeight="1" x14ac:dyDescent="0.2">
      <c r="A3027" s="18"/>
      <c r="B3027" s="137"/>
    </row>
    <row r="3028" spans="1:2" ht="15" customHeight="1" x14ac:dyDescent="0.2">
      <c r="A3028" s="18"/>
      <c r="B3028" s="137"/>
    </row>
    <row r="3029" spans="1:2" ht="15" customHeight="1" x14ac:dyDescent="0.2">
      <c r="A3029" s="18"/>
      <c r="B3029" s="137"/>
    </row>
    <row r="3030" spans="1:2" ht="15" customHeight="1" x14ac:dyDescent="0.2">
      <c r="A3030" s="18"/>
      <c r="B3030" s="137"/>
    </row>
    <row r="3031" spans="1:2" ht="15" customHeight="1" x14ac:dyDescent="0.2">
      <c r="A3031" s="18"/>
      <c r="B3031" s="137"/>
    </row>
    <row r="3032" spans="1:2" ht="15" customHeight="1" x14ac:dyDescent="0.2">
      <c r="A3032" s="18"/>
      <c r="B3032" s="137"/>
    </row>
    <row r="3033" spans="1:2" ht="15" customHeight="1" x14ac:dyDescent="0.2">
      <c r="A3033" s="18"/>
      <c r="B3033" s="137"/>
    </row>
    <row r="3034" spans="1:2" ht="15" customHeight="1" x14ac:dyDescent="0.2">
      <c r="A3034" s="18"/>
      <c r="B3034" s="137"/>
    </row>
    <row r="3035" spans="1:2" ht="15" customHeight="1" x14ac:dyDescent="0.2">
      <c r="A3035" s="18"/>
      <c r="B3035" s="137"/>
    </row>
    <row r="3036" spans="1:2" ht="15" customHeight="1" x14ac:dyDescent="0.2">
      <c r="A3036" s="18"/>
      <c r="B3036" s="137"/>
    </row>
    <row r="3037" spans="1:2" ht="15" customHeight="1" x14ac:dyDescent="0.2">
      <c r="A3037" s="18"/>
      <c r="B3037" s="137"/>
    </row>
    <row r="3038" spans="1:2" ht="15" customHeight="1" x14ac:dyDescent="0.2">
      <c r="A3038" s="18"/>
      <c r="B3038" s="137"/>
    </row>
    <row r="3039" spans="1:2" ht="15" customHeight="1" x14ac:dyDescent="0.2">
      <c r="A3039" s="18"/>
      <c r="B3039" s="137"/>
    </row>
    <row r="3040" spans="1:2" ht="15" customHeight="1" x14ac:dyDescent="0.2">
      <c r="A3040" s="18"/>
      <c r="B3040" s="137"/>
    </row>
    <row r="3041" spans="1:2" ht="15" customHeight="1" x14ac:dyDescent="0.2">
      <c r="A3041" s="18"/>
      <c r="B3041" s="137"/>
    </row>
    <row r="3042" spans="1:2" ht="15" customHeight="1" x14ac:dyDescent="0.2">
      <c r="A3042" s="18"/>
      <c r="B3042" s="137"/>
    </row>
    <row r="3043" spans="1:2" ht="15" customHeight="1" x14ac:dyDescent="0.2">
      <c r="A3043" s="18"/>
      <c r="B3043" s="137"/>
    </row>
    <row r="3044" spans="1:2" ht="15" customHeight="1" x14ac:dyDescent="0.2">
      <c r="A3044" s="18"/>
      <c r="B3044" s="137"/>
    </row>
    <row r="3045" spans="1:2" ht="15" customHeight="1" x14ac:dyDescent="0.2">
      <c r="A3045" s="18"/>
      <c r="B3045" s="137"/>
    </row>
    <row r="3046" spans="1:2" ht="15" customHeight="1" x14ac:dyDescent="0.2">
      <c r="A3046" s="18"/>
      <c r="B3046" s="137"/>
    </row>
    <row r="3047" spans="1:2" ht="15" customHeight="1" x14ac:dyDescent="0.2">
      <c r="A3047" s="18"/>
      <c r="B3047" s="137"/>
    </row>
    <row r="3048" spans="1:2" ht="15" customHeight="1" x14ac:dyDescent="0.2">
      <c r="A3048" s="18"/>
      <c r="B3048" s="137"/>
    </row>
    <row r="3049" spans="1:2" ht="15" customHeight="1" x14ac:dyDescent="0.2">
      <c r="A3049" s="18"/>
      <c r="B3049" s="137"/>
    </row>
    <row r="3050" spans="1:2" ht="15" customHeight="1" x14ac:dyDescent="0.2">
      <c r="A3050" s="18"/>
      <c r="B3050" s="137"/>
    </row>
    <row r="3051" spans="1:2" ht="15" customHeight="1" x14ac:dyDescent="0.2">
      <c r="A3051" s="18"/>
      <c r="B3051" s="137"/>
    </row>
    <row r="3052" spans="1:2" ht="15" customHeight="1" x14ac:dyDescent="0.2">
      <c r="A3052" s="18"/>
      <c r="B3052" s="137"/>
    </row>
    <row r="3053" spans="1:2" ht="15" customHeight="1" x14ac:dyDescent="0.2">
      <c r="A3053" s="18"/>
      <c r="B3053" s="137"/>
    </row>
    <row r="3054" spans="1:2" ht="15" customHeight="1" x14ac:dyDescent="0.2">
      <c r="A3054" s="18"/>
      <c r="B3054" s="137"/>
    </row>
    <row r="3055" spans="1:2" ht="15" customHeight="1" x14ac:dyDescent="0.2">
      <c r="A3055" s="18"/>
      <c r="B3055" s="137"/>
    </row>
    <row r="3056" spans="1:2" ht="15" customHeight="1" x14ac:dyDescent="0.2">
      <c r="A3056" s="18"/>
      <c r="B3056" s="137"/>
    </row>
    <row r="3057" spans="1:2" ht="15" customHeight="1" x14ac:dyDescent="0.2">
      <c r="A3057" s="18"/>
      <c r="B3057" s="137"/>
    </row>
    <row r="3058" spans="1:2" ht="15" customHeight="1" x14ac:dyDescent="0.2">
      <c r="A3058" s="18"/>
      <c r="B3058" s="137"/>
    </row>
    <row r="3059" spans="1:2" ht="15" customHeight="1" x14ac:dyDescent="0.2">
      <c r="A3059" s="18"/>
      <c r="B3059" s="137"/>
    </row>
    <row r="3060" spans="1:2" ht="15" customHeight="1" x14ac:dyDescent="0.2">
      <c r="A3060" s="18"/>
      <c r="B3060" s="137"/>
    </row>
    <row r="3061" spans="1:2" ht="15" customHeight="1" x14ac:dyDescent="0.2">
      <c r="A3061" s="18"/>
      <c r="B3061" s="137"/>
    </row>
    <row r="3062" spans="1:2" ht="15" customHeight="1" x14ac:dyDescent="0.2">
      <c r="A3062" s="18"/>
      <c r="B3062" s="137"/>
    </row>
    <row r="3063" spans="1:2" ht="15" customHeight="1" x14ac:dyDescent="0.2">
      <c r="A3063" s="18"/>
      <c r="B3063" s="137"/>
    </row>
    <row r="3064" spans="1:2" ht="15" customHeight="1" x14ac:dyDescent="0.2">
      <c r="A3064" s="18"/>
      <c r="B3064" s="137"/>
    </row>
    <row r="3065" spans="1:2" ht="15" customHeight="1" x14ac:dyDescent="0.2">
      <c r="A3065" s="18"/>
      <c r="B3065" s="137"/>
    </row>
    <row r="3066" spans="1:2" ht="15" customHeight="1" x14ac:dyDescent="0.2">
      <c r="A3066" s="18"/>
      <c r="B3066" s="137"/>
    </row>
    <row r="3067" spans="1:2" ht="15" customHeight="1" x14ac:dyDescent="0.2">
      <c r="A3067" s="18"/>
      <c r="B3067" s="137"/>
    </row>
    <row r="3068" spans="1:2" ht="15" customHeight="1" x14ac:dyDescent="0.2">
      <c r="A3068" s="18"/>
      <c r="B3068" s="137"/>
    </row>
    <row r="3069" spans="1:2" ht="15" customHeight="1" x14ac:dyDescent="0.2">
      <c r="A3069" s="18"/>
      <c r="B3069" s="137"/>
    </row>
    <row r="3070" spans="1:2" ht="15" customHeight="1" x14ac:dyDescent="0.2">
      <c r="A3070" s="18"/>
      <c r="B3070" s="137"/>
    </row>
    <row r="3071" spans="1:2" ht="15" customHeight="1" x14ac:dyDescent="0.2">
      <c r="A3071" s="18"/>
      <c r="B3071" s="137"/>
    </row>
    <row r="3072" spans="1:2" ht="15" customHeight="1" x14ac:dyDescent="0.2">
      <c r="A3072" s="18"/>
      <c r="B3072" s="137"/>
    </row>
    <row r="3073" spans="1:2" ht="15" customHeight="1" x14ac:dyDescent="0.2">
      <c r="A3073" s="18"/>
      <c r="B3073" s="137"/>
    </row>
    <row r="3074" spans="1:2" ht="15" customHeight="1" x14ac:dyDescent="0.2">
      <c r="A3074" s="18"/>
      <c r="B3074" s="137"/>
    </row>
    <row r="3075" spans="1:2" ht="15" customHeight="1" x14ac:dyDescent="0.2">
      <c r="A3075" s="18"/>
      <c r="B3075" s="137"/>
    </row>
    <row r="3076" spans="1:2" ht="15" customHeight="1" x14ac:dyDescent="0.2">
      <c r="A3076" s="18"/>
      <c r="B3076" s="137"/>
    </row>
    <row r="3077" spans="1:2" ht="15" customHeight="1" x14ac:dyDescent="0.2">
      <c r="A3077" s="18"/>
      <c r="B3077" s="137"/>
    </row>
    <row r="3078" spans="1:2" ht="15" customHeight="1" x14ac:dyDescent="0.2">
      <c r="A3078" s="18"/>
      <c r="B3078" s="137"/>
    </row>
    <row r="3079" spans="1:2" ht="15" customHeight="1" x14ac:dyDescent="0.2">
      <c r="A3079" s="18"/>
      <c r="B3079" s="137"/>
    </row>
    <row r="3080" spans="1:2" ht="15" customHeight="1" x14ac:dyDescent="0.2">
      <c r="A3080" s="18"/>
      <c r="B3080" s="137"/>
    </row>
    <row r="3081" spans="1:2" ht="15" customHeight="1" x14ac:dyDescent="0.2">
      <c r="A3081" s="18"/>
      <c r="B3081" s="137"/>
    </row>
    <row r="3082" spans="1:2" ht="15" customHeight="1" x14ac:dyDescent="0.2">
      <c r="A3082" s="18"/>
      <c r="B3082" s="137"/>
    </row>
    <row r="3083" spans="1:2" ht="15" customHeight="1" x14ac:dyDescent="0.2">
      <c r="A3083" s="18"/>
      <c r="B3083" s="137"/>
    </row>
    <row r="3084" spans="1:2" ht="15" customHeight="1" x14ac:dyDescent="0.2">
      <c r="A3084" s="18"/>
      <c r="B3084" s="137"/>
    </row>
    <row r="3085" spans="1:2" ht="15" customHeight="1" x14ac:dyDescent="0.2">
      <c r="A3085" s="18"/>
      <c r="B3085" s="137"/>
    </row>
    <row r="3086" spans="1:2" ht="15" customHeight="1" x14ac:dyDescent="0.2">
      <c r="A3086" s="18"/>
      <c r="B3086" s="137"/>
    </row>
    <row r="3087" spans="1:2" ht="15" customHeight="1" x14ac:dyDescent="0.2">
      <c r="A3087" s="18"/>
      <c r="B3087" s="137"/>
    </row>
    <row r="3088" spans="1:2" ht="15" customHeight="1" x14ac:dyDescent="0.2">
      <c r="A3088" s="18"/>
      <c r="B3088" s="137"/>
    </row>
    <row r="3089" spans="1:2" ht="15" customHeight="1" x14ac:dyDescent="0.2">
      <c r="A3089" s="18"/>
      <c r="B3089" s="137"/>
    </row>
    <row r="3090" spans="1:2" ht="15" customHeight="1" x14ac:dyDescent="0.2">
      <c r="A3090" s="18"/>
      <c r="B3090" s="137"/>
    </row>
    <row r="3091" spans="1:2" ht="15" customHeight="1" x14ac:dyDescent="0.2">
      <c r="A3091" s="18"/>
      <c r="B3091" s="137"/>
    </row>
    <row r="3092" spans="1:2" ht="15" customHeight="1" x14ac:dyDescent="0.2">
      <c r="A3092" s="18"/>
      <c r="B3092" s="137"/>
    </row>
    <row r="3093" spans="1:2" ht="15" customHeight="1" x14ac:dyDescent="0.2">
      <c r="A3093" s="18"/>
      <c r="B3093" s="137"/>
    </row>
    <row r="3094" spans="1:2" ht="15" customHeight="1" x14ac:dyDescent="0.2">
      <c r="A3094" s="18"/>
      <c r="B3094" s="137"/>
    </row>
    <row r="3095" spans="1:2" ht="15" customHeight="1" x14ac:dyDescent="0.2">
      <c r="A3095" s="18"/>
      <c r="B3095" s="137"/>
    </row>
    <row r="3096" spans="1:2" ht="15" customHeight="1" x14ac:dyDescent="0.2">
      <c r="A3096" s="18"/>
      <c r="B3096" s="137"/>
    </row>
    <row r="3097" spans="1:2" ht="15" customHeight="1" x14ac:dyDescent="0.2">
      <c r="A3097" s="18"/>
      <c r="B3097" s="137"/>
    </row>
    <row r="3098" spans="1:2" ht="15" customHeight="1" x14ac:dyDescent="0.2">
      <c r="A3098" s="18"/>
      <c r="B3098" s="137"/>
    </row>
    <row r="3099" spans="1:2" ht="15" customHeight="1" x14ac:dyDescent="0.2">
      <c r="A3099" s="18"/>
      <c r="B3099" s="137"/>
    </row>
    <row r="3100" spans="1:2" ht="15" customHeight="1" x14ac:dyDescent="0.2">
      <c r="A3100" s="18"/>
      <c r="B3100" s="137"/>
    </row>
    <row r="3101" spans="1:2" ht="15" customHeight="1" x14ac:dyDescent="0.2">
      <c r="A3101" s="18"/>
      <c r="B3101" s="137"/>
    </row>
    <row r="3102" spans="1:2" ht="15" customHeight="1" x14ac:dyDescent="0.2">
      <c r="A3102" s="18"/>
      <c r="B3102" s="137"/>
    </row>
    <row r="3103" spans="1:2" ht="15" customHeight="1" x14ac:dyDescent="0.2">
      <c r="A3103" s="18"/>
      <c r="B3103" s="137"/>
    </row>
    <row r="3104" spans="1:2" ht="15" customHeight="1" x14ac:dyDescent="0.2">
      <c r="A3104" s="18"/>
      <c r="B3104" s="137"/>
    </row>
    <row r="3105" spans="1:2" ht="15" customHeight="1" x14ac:dyDescent="0.2">
      <c r="A3105" s="18"/>
      <c r="B3105" s="137"/>
    </row>
    <row r="3106" spans="1:2" ht="15" customHeight="1" x14ac:dyDescent="0.2">
      <c r="A3106" s="18"/>
      <c r="B3106" s="137"/>
    </row>
    <row r="3107" spans="1:2" ht="15" customHeight="1" x14ac:dyDescent="0.2">
      <c r="A3107" s="18"/>
      <c r="B3107" s="137"/>
    </row>
    <row r="3108" spans="1:2" ht="15" customHeight="1" x14ac:dyDescent="0.2">
      <c r="A3108" s="18"/>
      <c r="B3108" s="137"/>
    </row>
    <row r="3109" spans="1:2" ht="15" customHeight="1" x14ac:dyDescent="0.2">
      <c r="A3109" s="18"/>
      <c r="B3109" s="137"/>
    </row>
    <row r="3110" spans="1:2" ht="15" customHeight="1" x14ac:dyDescent="0.2">
      <c r="A3110" s="18"/>
      <c r="B3110" s="137"/>
    </row>
    <row r="3111" spans="1:2" ht="15" customHeight="1" x14ac:dyDescent="0.2">
      <c r="A3111" s="18"/>
      <c r="B3111" s="137"/>
    </row>
    <row r="3112" spans="1:2" ht="15" customHeight="1" x14ac:dyDescent="0.2">
      <c r="A3112" s="18"/>
      <c r="B3112" s="137"/>
    </row>
    <row r="3113" spans="1:2" ht="15" customHeight="1" x14ac:dyDescent="0.2">
      <c r="A3113" s="18"/>
      <c r="B3113" s="137"/>
    </row>
    <row r="3114" spans="1:2" ht="15" customHeight="1" x14ac:dyDescent="0.2">
      <c r="A3114" s="18"/>
      <c r="B3114" s="137"/>
    </row>
    <row r="3115" spans="1:2" ht="15" customHeight="1" x14ac:dyDescent="0.2">
      <c r="A3115" s="18"/>
      <c r="B3115" s="137"/>
    </row>
    <row r="3116" spans="1:2" ht="15" customHeight="1" x14ac:dyDescent="0.2">
      <c r="A3116" s="18"/>
      <c r="B3116" s="137"/>
    </row>
    <row r="3117" spans="1:2" ht="15" customHeight="1" x14ac:dyDescent="0.2">
      <c r="A3117" s="18"/>
      <c r="B3117" s="137"/>
    </row>
    <row r="3118" spans="1:2" ht="15" customHeight="1" x14ac:dyDescent="0.2">
      <c r="A3118" s="18"/>
      <c r="B3118" s="137"/>
    </row>
    <row r="3119" spans="1:2" ht="15" customHeight="1" x14ac:dyDescent="0.2">
      <c r="A3119" s="18"/>
      <c r="B3119" s="137"/>
    </row>
    <row r="3120" spans="1:2" ht="15" customHeight="1" x14ac:dyDescent="0.2">
      <c r="A3120" s="18"/>
      <c r="B3120" s="137"/>
    </row>
    <row r="3121" spans="1:2" ht="15" customHeight="1" x14ac:dyDescent="0.2">
      <c r="A3121" s="18"/>
      <c r="B3121" s="137"/>
    </row>
    <row r="3122" spans="1:2" ht="15" customHeight="1" x14ac:dyDescent="0.2">
      <c r="A3122" s="18"/>
      <c r="B3122" s="137"/>
    </row>
    <row r="3123" spans="1:2" ht="15" customHeight="1" x14ac:dyDescent="0.2">
      <c r="A3123" s="18"/>
      <c r="B3123" s="137"/>
    </row>
    <row r="3124" spans="1:2" ht="15" customHeight="1" x14ac:dyDescent="0.2">
      <c r="A3124" s="18"/>
      <c r="B3124" s="137"/>
    </row>
    <row r="3125" spans="1:2" ht="15" customHeight="1" x14ac:dyDescent="0.2">
      <c r="A3125" s="18"/>
      <c r="B3125" s="137"/>
    </row>
    <row r="3126" spans="1:2" ht="15" customHeight="1" x14ac:dyDescent="0.2">
      <c r="A3126" s="18"/>
      <c r="B3126" s="137"/>
    </row>
    <row r="3127" spans="1:2" ht="15" customHeight="1" x14ac:dyDescent="0.2">
      <c r="A3127" s="18"/>
      <c r="B3127" s="137"/>
    </row>
    <row r="3128" spans="1:2" ht="15" customHeight="1" x14ac:dyDescent="0.2">
      <c r="A3128" s="18"/>
      <c r="B3128" s="137"/>
    </row>
    <row r="3129" spans="1:2" ht="15" customHeight="1" x14ac:dyDescent="0.2">
      <c r="A3129" s="18"/>
      <c r="B3129" s="137"/>
    </row>
    <row r="3130" spans="1:2" ht="15" customHeight="1" x14ac:dyDescent="0.2">
      <c r="A3130" s="18"/>
      <c r="B3130" s="137"/>
    </row>
    <row r="3131" spans="1:2" ht="15" customHeight="1" x14ac:dyDescent="0.2">
      <c r="A3131" s="18"/>
      <c r="B3131" s="137"/>
    </row>
    <row r="3132" spans="1:2" ht="15" customHeight="1" x14ac:dyDescent="0.2">
      <c r="A3132" s="18"/>
      <c r="B3132" s="137"/>
    </row>
    <row r="3133" spans="1:2" ht="15" customHeight="1" x14ac:dyDescent="0.2">
      <c r="A3133" s="18"/>
      <c r="B3133" s="137"/>
    </row>
    <row r="3134" spans="1:2" ht="15" customHeight="1" x14ac:dyDescent="0.2">
      <c r="A3134" s="18"/>
      <c r="B3134" s="137"/>
    </row>
    <row r="3135" spans="1:2" ht="15" customHeight="1" x14ac:dyDescent="0.2">
      <c r="A3135" s="18"/>
      <c r="B3135" s="137"/>
    </row>
    <row r="3136" spans="1:2" ht="15" customHeight="1" x14ac:dyDescent="0.2">
      <c r="A3136" s="18"/>
      <c r="B3136" s="137"/>
    </row>
    <row r="3137" spans="1:2" ht="15" customHeight="1" x14ac:dyDescent="0.2">
      <c r="A3137" s="18"/>
      <c r="B3137" s="137"/>
    </row>
    <row r="3138" spans="1:2" ht="15" customHeight="1" x14ac:dyDescent="0.2">
      <c r="A3138" s="18"/>
      <c r="B3138" s="137"/>
    </row>
    <row r="3139" spans="1:2" ht="15" customHeight="1" x14ac:dyDescent="0.2">
      <c r="A3139" s="18"/>
      <c r="B3139" s="137"/>
    </row>
    <row r="3140" spans="1:2" ht="15" customHeight="1" x14ac:dyDescent="0.2">
      <c r="A3140" s="18"/>
      <c r="B3140" s="137"/>
    </row>
    <row r="3141" spans="1:2" ht="15" customHeight="1" x14ac:dyDescent="0.2">
      <c r="A3141" s="18"/>
      <c r="B3141" s="137"/>
    </row>
    <row r="3142" spans="1:2" ht="15" customHeight="1" x14ac:dyDescent="0.2">
      <c r="A3142" s="18"/>
      <c r="B3142" s="137"/>
    </row>
    <row r="3143" spans="1:2" ht="15" customHeight="1" x14ac:dyDescent="0.2">
      <c r="A3143" s="18"/>
      <c r="B3143" s="137"/>
    </row>
    <row r="3144" spans="1:2" ht="15" customHeight="1" x14ac:dyDescent="0.2">
      <c r="A3144" s="18"/>
      <c r="B3144" s="137"/>
    </row>
    <row r="3145" spans="1:2" ht="15" customHeight="1" x14ac:dyDescent="0.2">
      <c r="A3145" s="18"/>
      <c r="B3145" s="137"/>
    </row>
    <row r="3146" spans="1:2" ht="15" customHeight="1" x14ac:dyDescent="0.2">
      <c r="A3146" s="18"/>
      <c r="B3146" s="137"/>
    </row>
    <row r="3147" spans="1:2" ht="15" customHeight="1" x14ac:dyDescent="0.2">
      <c r="A3147" s="18"/>
      <c r="B3147" s="137"/>
    </row>
    <row r="3148" spans="1:2" ht="15" customHeight="1" x14ac:dyDescent="0.2">
      <c r="A3148" s="18"/>
      <c r="B3148" s="137"/>
    </row>
    <row r="3149" spans="1:2" ht="15" customHeight="1" x14ac:dyDescent="0.2">
      <c r="A3149" s="18"/>
      <c r="B3149" s="137"/>
    </row>
    <row r="3150" spans="1:2" ht="15" customHeight="1" x14ac:dyDescent="0.2">
      <c r="A3150" s="18"/>
      <c r="B3150" s="137"/>
    </row>
    <row r="3151" spans="1:2" ht="15" customHeight="1" x14ac:dyDescent="0.2">
      <c r="A3151" s="18"/>
      <c r="B3151" s="137"/>
    </row>
    <row r="3152" spans="1:2" ht="15" customHeight="1" x14ac:dyDescent="0.2">
      <c r="A3152" s="18"/>
      <c r="B3152" s="137"/>
    </row>
    <row r="3153" spans="1:2" ht="15" customHeight="1" x14ac:dyDescent="0.2">
      <c r="A3153" s="18"/>
      <c r="B3153" s="137"/>
    </row>
    <row r="3154" spans="1:2" ht="15" customHeight="1" x14ac:dyDescent="0.2">
      <c r="A3154" s="18"/>
      <c r="B3154" s="137"/>
    </row>
    <row r="3155" spans="1:2" ht="15" customHeight="1" x14ac:dyDescent="0.2">
      <c r="A3155" s="18"/>
      <c r="B3155" s="137"/>
    </row>
    <row r="3156" spans="1:2" ht="15" customHeight="1" x14ac:dyDescent="0.2">
      <c r="A3156" s="18"/>
      <c r="B3156" s="137"/>
    </row>
    <row r="3157" spans="1:2" ht="15" customHeight="1" x14ac:dyDescent="0.2">
      <c r="A3157" s="18"/>
      <c r="B3157" s="137"/>
    </row>
    <row r="3158" spans="1:2" ht="15" customHeight="1" x14ac:dyDescent="0.2">
      <c r="A3158" s="18"/>
      <c r="B3158" s="137"/>
    </row>
    <row r="3159" spans="1:2" ht="15" customHeight="1" x14ac:dyDescent="0.2">
      <c r="A3159" s="18"/>
      <c r="B3159" s="137"/>
    </row>
    <row r="3160" spans="1:2" ht="15" customHeight="1" x14ac:dyDescent="0.2">
      <c r="A3160" s="18"/>
      <c r="B3160" s="137"/>
    </row>
    <row r="3161" spans="1:2" ht="15" customHeight="1" x14ac:dyDescent="0.2">
      <c r="A3161" s="18"/>
      <c r="B3161" s="137"/>
    </row>
    <row r="3162" spans="1:2" ht="15" customHeight="1" x14ac:dyDescent="0.2">
      <c r="A3162" s="18"/>
      <c r="B3162" s="137"/>
    </row>
    <row r="3163" spans="1:2" ht="15" customHeight="1" x14ac:dyDescent="0.2">
      <c r="A3163" s="18"/>
      <c r="B3163" s="137"/>
    </row>
    <row r="3164" spans="1:2" ht="15" customHeight="1" x14ac:dyDescent="0.2">
      <c r="A3164" s="18"/>
      <c r="B3164" s="137"/>
    </row>
    <row r="3165" spans="1:2" ht="15" customHeight="1" x14ac:dyDescent="0.2">
      <c r="A3165" s="18"/>
      <c r="B3165" s="137"/>
    </row>
    <row r="3166" spans="1:2" ht="15" customHeight="1" x14ac:dyDescent="0.2">
      <c r="A3166" s="18"/>
      <c r="B3166" s="137"/>
    </row>
    <row r="3167" spans="1:2" ht="15" customHeight="1" x14ac:dyDescent="0.2">
      <c r="A3167" s="18"/>
      <c r="B3167" s="137"/>
    </row>
    <row r="3168" spans="1:2" ht="15" customHeight="1" x14ac:dyDescent="0.2">
      <c r="A3168" s="18"/>
      <c r="B3168" s="137"/>
    </row>
    <row r="3169" spans="1:2" ht="15" customHeight="1" x14ac:dyDescent="0.2">
      <c r="A3169" s="18"/>
      <c r="B3169" s="137"/>
    </row>
    <row r="3170" spans="1:2" ht="15" customHeight="1" x14ac:dyDescent="0.2">
      <c r="A3170" s="18"/>
      <c r="B3170" s="137"/>
    </row>
    <row r="3171" spans="1:2" ht="15" customHeight="1" x14ac:dyDescent="0.2">
      <c r="A3171" s="18"/>
      <c r="B3171" s="137"/>
    </row>
    <row r="3172" spans="1:2" ht="15" customHeight="1" x14ac:dyDescent="0.2">
      <c r="A3172" s="18"/>
      <c r="B3172" s="137"/>
    </row>
    <row r="3173" spans="1:2" ht="15" customHeight="1" x14ac:dyDescent="0.2">
      <c r="A3173" s="18"/>
      <c r="B3173" s="137"/>
    </row>
    <row r="3174" spans="1:2" ht="15" customHeight="1" x14ac:dyDescent="0.2">
      <c r="A3174" s="18"/>
      <c r="B3174" s="137"/>
    </row>
    <row r="3175" spans="1:2" ht="15" customHeight="1" x14ac:dyDescent="0.2">
      <c r="A3175" s="18"/>
      <c r="B3175" s="137"/>
    </row>
    <row r="3176" spans="1:2" ht="15" customHeight="1" x14ac:dyDescent="0.2">
      <c r="A3176" s="18"/>
      <c r="B3176" s="137"/>
    </row>
    <row r="3177" spans="1:2" ht="15" customHeight="1" x14ac:dyDescent="0.2">
      <c r="A3177" s="18"/>
      <c r="B3177" s="137"/>
    </row>
    <row r="3178" spans="1:2" ht="15" customHeight="1" x14ac:dyDescent="0.2">
      <c r="A3178" s="18"/>
      <c r="B3178" s="137"/>
    </row>
    <row r="3179" spans="1:2" ht="15" customHeight="1" x14ac:dyDescent="0.2">
      <c r="A3179" s="18"/>
      <c r="B3179" s="137"/>
    </row>
    <row r="3180" spans="1:2" ht="15" customHeight="1" x14ac:dyDescent="0.2">
      <c r="A3180" s="18"/>
      <c r="B3180" s="137"/>
    </row>
    <row r="3181" spans="1:2" ht="15" customHeight="1" x14ac:dyDescent="0.2">
      <c r="A3181" s="18"/>
      <c r="B3181" s="137"/>
    </row>
    <row r="3182" spans="1:2" ht="15" customHeight="1" x14ac:dyDescent="0.2">
      <c r="A3182" s="18"/>
      <c r="B3182" s="137"/>
    </row>
    <row r="3183" spans="1:2" ht="15" customHeight="1" x14ac:dyDescent="0.2">
      <c r="A3183" s="18"/>
      <c r="B3183" s="137"/>
    </row>
    <row r="3184" spans="1:2" ht="15" customHeight="1" x14ac:dyDescent="0.2">
      <c r="A3184" s="18"/>
      <c r="B3184" s="137"/>
    </row>
    <row r="3185" spans="1:2" ht="15" customHeight="1" x14ac:dyDescent="0.2">
      <c r="A3185" s="18"/>
      <c r="B3185" s="137"/>
    </row>
    <row r="3186" spans="1:2" ht="15" customHeight="1" x14ac:dyDescent="0.2">
      <c r="A3186" s="18"/>
      <c r="B3186" s="137"/>
    </row>
    <row r="3187" spans="1:2" ht="15" customHeight="1" x14ac:dyDescent="0.2">
      <c r="A3187" s="18"/>
      <c r="B3187" s="137"/>
    </row>
    <row r="3188" spans="1:2" ht="15" customHeight="1" x14ac:dyDescent="0.2">
      <c r="A3188" s="18"/>
      <c r="B3188" s="137"/>
    </row>
    <row r="3189" spans="1:2" ht="15" customHeight="1" x14ac:dyDescent="0.2">
      <c r="A3189" s="18"/>
      <c r="B3189" s="137"/>
    </row>
    <row r="3190" spans="1:2" ht="15" customHeight="1" x14ac:dyDescent="0.2">
      <c r="A3190" s="18"/>
      <c r="B3190" s="137"/>
    </row>
    <row r="3191" spans="1:2" ht="15" customHeight="1" x14ac:dyDescent="0.2">
      <c r="A3191" s="18"/>
      <c r="B3191" s="137"/>
    </row>
    <row r="3192" spans="1:2" ht="15" customHeight="1" x14ac:dyDescent="0.2">
      <c r="A3192" s="18"/>
      <c r="B3192" s="137"/>
    </row>
    <row r="3193" spans="1:2" ht="15" customHeight="1" x14ac:dyDescent="0.2">
      <c r="A3193" s="18"/>
      <c r="B3193" s="137"/>
    </row>
    <row r="3194" spans="1:2" ht="15" customHeight="1" x14ac:dyDescent="0.2">
      <c r="A3194" s="18"/>
      <c r="B3194" s="137"/>
    </row>
    <row r="3195" spans="1:2" ht="15" customHeight="1" x14ac:dyDescent="0.2">
      <c r="A3195" s="18"/>
      <c r="B3195" s="137"/>
    </row>
    <row r="3196" spans="1:2" ht="15" customHeight="1" x14ac:dyDescent="0.2">
      <c r="A3196" s="18"/>
      <c r="B3196" s="137"/>
    </row>
    <row r="3197" spans="1:2" ht="15" customHeight="1" x14ac:dyDescent="0.2">
      <c r="A3197" s="18"/>
      <c r="B3197" s="137"/>
    </row>
    <row r="3198" spans="1:2" ht="15" customHeight="1" x14ac:dyDescent="0.2">
      <c r="A3198" s="18"/>
      <c r="B3198" s="137"/>
    </row>
    <row r="3199" spans="1:2" ht="15" customHeight="1" x14ac:dyDescent="0.2">
      <c r="A3199" s="18"/>
      <c r="B3199" s="137"/>
    </row>
    <row r="3200" spans="1:2" ht="15" customHeight="1" x14ac:dyDescent="0.2">
      <c r="A3200" s="18"/>
      <c r="B3200" s="137"/>
    </row>
    <row r="3201" spans="1:2" ht="15" customHeight="1" x14ac:dyDescent="0.2">
      <c r="A3201" s="18"/>
      <c r="B3201" s="137"/>
    </row>
    <row r="3202" spans="1:2" ht="15" customHeight="1" x14ac:dyDescent="0.2">
      <c r="A3202" s="18"/>
      <c r="B3202" s="137"/>
    </row>
    <row r="3203" spans="1:2" ht="15" customHeight="1" x14ac:dyDescent="0.2">
      <c r="A3203" s="18"/>
      <c r="B3203" s="137"/>
    </row>
    <row r="3204" spans="1:2" ht="15" customHeight="1" x14ac:dyDescent="0.2">
      <c r="A3204" s="18"/>
      <c r="B3204" s="137"/>
    </row>
    <row r="3205" spans="1:2" ht="15" customHeight="1" x14ac:dyDescent="0.2">
      <c r="A3205" s="18"/>
      <c r="B3205" s="137"/>
    </row>
    <row r="3206" spans="1:2" ht="15" customHeight="1" x14ac:dyDescent="0.2">
      <c r="A3206" s="18"/>
      <c r="B3206" s="137"/>
    </row>
    <row r="3207" spans="1:2" ht="15" customHeight="1" x14ac:dyDescent="0.2">
      <c r="A3207" s="18"/>
      <c r="B3207" s="137"/>
    </row>
    <row r="3208" spans="1:2" ht="15" customHeight="1" x14ac:dyDescent="0.2">
      <c r="A3208" s="18"/>
      <c r="B3208" s="137"/>
    </row>
    <row r="3209" spans="1:2" ht="15" customHeight="1" x14ac:dyDescent="0.2">
      <c r="A3209" s="18"/>
      <c r="B3209" s="137"/>
    </row>
    <row r="3210" spans="1:2" ht="15" customHeight="1" x14ac:dyDescent="0.2">
      <c r="A3210" s="18"/>
      <c r="B3210" s="137"/>
    </row>
    <row r="3211" spans="1:2" ht="15" customHeight="1" x14ac:dyDescent="0.2">
      <c r="A3211" s="18"/>
      <c r="B3211" s="137"/>
    </row>
    <row r="3212" spans="1:2" ht="15" customHeight="1" x14ac:dyDescent="0.2">
      <c r="A3212" s="18"/>
      <c r="B3212" s="137"/>
    </row>
    <row r="3213" spans="1:2" ht="15" customHeight="1" x14ac:dyDescent="0.2">
      <c r="A3213" s="18"/>
      <c r="B3213" s="137"/>
    </row>
    <row r="3214" spans="1:2" ht="15" customHeight="1" x14ac:dyDescent="0.2">
      <c r="A3214" s="18"/>
      <c r="B3214" s="137"/>
    </row>
    <row r="3215" spans="1:2" ht="15" customHeight="1" x14ac:dyDescent="0.2">
      <c r="A3215" s="18"/>
      <c r="B3215" s="137"/>
    </row>
    <row r="3216" spans="1:2" ht="15" customHeight="1" x14ac:dyDescent="0.2">
      <c r="A3216" s="18"/>
      <c r="B3216" s="137"/>
    </row>
    <row r="3217" spans="1:2" ht="15" customHeight="1" x14ac:dyDescent="0.2">
      <c r="A3217" s="18"/>
      <c r="B3217" s="137"/>
    </row>
    <row r="3218" spans="1:2" ht="15" customHeight="1" x14ac:dyDescent="0.2">
      <c r="A3218" s="18"/>
      <c r="B3218" s="137"/>
    </row>
    <row r="3219" spans="1:2" ht="15" customHeight="1" x14ac:dyDescent="0.2">
      <c r="A3219" s="18"/>
      <c r="B3219" s="137"/>
    </row>
    <row r="3220" spans="1:2" ht="15" customHeight="1" x14ac:dyDescent="0.2">
      <c r="A3220" s="18"/>
      <c r="B3220" s="137"/>
    </row>
    <row r="3221" spans="1:2" ht="15" customHeight="1" x14ac:dyDescent="0.2">
      <c r="A3221" s="18"/>
      <c r="B3221" s="137"/>
    </row>
    <row r="3222" spans="1:2" ht="15" customHeight="1" x14ac:dyDescent="0.2">
      <c r="A3222" s="18"/>
      <c r="B3222" s="137"/>
    </row>
    <row r="3223" spans="1:2" ht="15" customHeight="1" x14ac:dyDescent="0.2">
      <c r="A3223" s="18"/>
      <c r="B3223" s="137"/>
    </row>
    <row r="3224" spans="1:2" ht="15" customHeight="1" x14ac:dyDescent="0.2">
      <c r="A3224" s="18"/>
      <c r="B3224" s="137"/>
    </row>
    <row r="3225" spans="1:2" ht="15" customHeight="1" x14ac:dyDescent="0.2">
      <c r="A3225" s="18"/>
      <c r="B3225" s="137"/>
    </row>
    <row r="3226" spans="1:2" ht="15" customHeight="1" x14ac:dyDescent="0.2">
      <c r="A3226" s="18"/>
      <c r="B3226" s="137"/>
    </row>
    <row r="3227" spans="1:2" ht="15" customHeight="1" x14ac:dyDescent="0.2">
      <c r="A3227" s="18"/>
      <c r="B3227" s="137"/>
    </row>
    <row r="3228" spans="1:2" ht="15" customHeight="1" x14ac:dyDescent="0.2">
      <c r="A3228" s="18"/>
      <c r="B3228" s="137"/>
    </row>
    <row r="3229" spans="1:2" ht="15" customHeight="1" x14ac:dyDescent="0.2">
      <c r="A3229" s="18"/>
      <c r="B3229" s="137"/>
    </row>
    <row r="3230" spans="1:2" ht="15" customHeight="1" x14ac:dyDescent="0.2">
      <c r="A3230" s="18"/>
      <c r="B3230" s="137"/>
    </row>
    <row r="3231" spans="1:2" ht="15" customHeight="1" x14ac:dyDescent="0.2">
      <c r="A3231" s="18"/>
      <c r="B3231" s="137"/>
    </row>
    <row r="3232" spans="1:2" ht="15" customHeight="1" x14ac:dyDescent="0.2">
      <c r="A3232" s="18"/>
      <c r="B3232" s="137"/>
    </row>
    <row r="3233" spans="1:2" ht="15" customHeight="1" x14ac:dyDescent="0.2">
      <c r="A3233" s="18"/>
      <c r="B3233" s="137"/>
    </row>
    <row r="3234" spans="1:2" ht="15" customHeight="1" x14ac:dyDescent="0.2">
      <c r="A3234" s="18"/>
      <c r="B3234" s="137"/>
    </row>
    <row r="3235" spans="1:2" ht="15" customHeight="1" x14ac:dyDescent="0.2">
      <c r="A3235" s="18"/>
      <c r="B3235" s="137"/>
    </row>
    <row r="3236" spans="1:2" ht="15" customHeight="1" x14ac:dyDescent="0.2">
      <c r="A3236" s="18"/>
      <c r="B3236" s="137"/>
    </row>
    <row r="3237" spans="1:2" ht="15" customHeight="1" x14ac:dyDescent="0.2">
      <c r="A3237" s="18"/>
      <c r="B3237" s="137"/>
    </row>
    <row r="3238" spans="1:2" ht="15" customHeight="1" x14ac:dyDescent="0.2">
      <c r="A3238" s="18"/>
      <c r="B3238" s="137"/>
    </row>
    <row r="3239" spans="1:2" ht="15" customHeight="1" x14ac:dyDescent="0.2">
      <c r="A3239" s="18"/>
      <c r="B3239" s="137"/>
    </row>
    <row r="3240" spans="1:2" ht="15" customHeight="1" x14ac:dyDescent="0.2">
      <c r="A3240" s="18"/>
      <c r="B3240" s="137"/>
    </row>
    <row r="3241" spans="1:2" ht="15" customHeight="1" x14ac:dyDescent="0.2">
      <c r="A3241" s="18"/>
      <c r="B3241" s="137"/>
    </row>
    <row r="3242" spans="1:2" ht="15" customHeight="1" x14ac:dyDescent="0.2">
      <c r="A3242" s="18"/>
      <c r="B3242" s="137"/>
    </row>
    <row r="3243" spans="1:2" ht="15" customHeight="1" x14ac:dyDescent="0.2">
      <c r="A3243" s="18"/>
      <c r="B3243" s="137"/>
    </row>
    <row r="3244" spans="1:2" ht="15" customHeight="1" x14ac:dyDescent="0.2">
      <c r="A3244" s="18"/>
      <c r="B3244" s="137"/>
    </row>
    <row r="3245" spans="1:2" ht="15" customHeight="1" x14ac:dyDescent="0.2">
      <c r="A3245" s="18"/>
      <c r="B3245" s="137"/>
    </row>
    <row r="3246" spans="1:2" ht="15" customHeight="1" x14ac:dyDescent="0.2">
      <c r="A3246" s="18"/>
      <c r="B3246" s="137"/>
    </row>
    <row r="3247" spans="1:2" ht="15" customHeight="1" x14ac:dyDescent="0.2">
      <c r="A3247" s="18"/>
      <c r="B3247" s="137"/>
    </row>
    <row r="3248" spans="1:2" ht="15" customHeight="1" x14ac:dyDescent="0.2">
      <c r="A3248" s="18"/>
      <c r="B3248" s="137"/>
    </row>
    <row r="3249" spans="1:2" ht="15" customHeight="1" x14ac:dyDescent="0.2">
      <c r="A3249" s="18"/>
      <c r="B3249" s="137"/>
    </row>
    <row r="3250" spans="1:2" ht="15" customHeight="1" x14ac:dyDescent="0.2">
      <c r="A3250" s="18"/>
      <c r="B3250" s="137"/>
    </row>
    <row r="3251" spans="1:2" ht="15" customHeight="1" x14ac:dyDescent="0.2">
      <c r="A3251" s="18"/>
      <c r="B3251" s="137"/>
    </row>
    <row r="3252" spans="1:2" ht="15" customHeight="1" x14ac:dyDescent="0.2">
      <c r="A3252" s="18"/>
      <c r="B3252" s="137"/>
    </row>
    <row r="3253" spans="1:2" ht="15" customHeight="1" x14ac:dyDescent="0.2">
      <c r="A3253" s="18"/>
      <c r="B3253" s="137"/>
    </row>
    <row r="3254" spans="1:2" ht="15" customHeight="1" x14ac:dyDescent="0.2">
      <c r="A3254" s="18"/>
      <c r="B3254" s="137"/>
    </row>
    <row r="3255" spans="1:2" ht="15" customHeight="1" x14ac:dyDescent="0.2">
      <c r="A3255" s="18"/>
      <c r="B3255" s="137"/>
    </row>
    <row r="3256" spans="1:2" ht="15" customHeight="1" x14ac:dyDescent="0.2">
      <c r="A3256" s="18"/>
      <c r="B3256" s="137"/>
    </row>
    <row r="3257" spans="1:2" ht="15" customHeight="1" x14ac:dyDescent="0.2">
      <c r="A3257" s="18"/>
      <c r="B3257" s="137"/>
    </row>
    <row r="3258" spans="1:2" ht="15" customHeight="1" x14ac:dyDescent="0.2">
      <c r="A3258" s="18"/>
      <c r="B3258" s="137"/>
    </row>
    <row r="3259" spans="1:2" ht="15" customHeight="1" x14ac:dyDescent="0.2">
      <c r="A3259" s="18"/>
      <c r="B3259" s="137"/>
    </row>
    <row r="3260" spans="1:2" ht="15" customHeight="1" x14ac:dyDescent="0.2">
      <c r="A3260" s="18"/>
      <c r="B3260" s="137"/>
    </row>
    <row r="3261" spans="1:2" ht="15" customHeight="1" x14ac:dyDescent="0.2">
      <c r="A3261" s="18"/>
      <c r="B3261" s="137"/>
    </row>
    <row r="3262" spans="1:2" ht="15" customHeight="1" x14ac:dyDescent="0.2">
      <c r="A3262" s="18"/>
      <c r="B3262" s="137"/>
    </row>
    <row r="3263" spans="1:2" ht="15" customHeight="1" x14ac:dyDescent="0.2">
      <c r="A3263" s="18"/>
      <c r="B3263" s="137"/>
    </row>
    <row r="3264" spans="1:2" ht="15" customHeight="1" x14ac:dyDescent="0.2">
      <c r="A3264" s="18"/>
      <c r="B3264" s="137"/>
    </row>
    <row r="3265" spans="1:2" ht="15" customHeight="1" x14ac:dyDescent="0.2">
      <c r="A3265" s="18"/>
      <c r="B3265" s="137"/>
    </row>
    <row r="3266" spans="1:2" ht="15" customHeight="1" x14ac:dyDescent="0.2">
      <c r="A3266" s="18"/>
      <c r="B3266" s="137"/>
    </row>
    <row r="3267" spans="1:2" ht="15" customHeight="1" x14ac:dyDescent="0.2">
      <c r="A3267" s="18"/>
      <c r="B3267" s="137"/>
    </row>
    <row r="3268" spans="1:2" ht="15" customHeight="1" x14ac:dyDescent="0.2">
      <c r="A3268" s="18"/>
      <c r="B3268" s="137"/>
    </row>
    <row r="3269" spans="1:2" ht="15" customHeight="1" x14ac:dyDescent="0.2">
      <c r="A3269" s="18"/>
      <c r="B3269" s="137"/>
    </row>
    <row r="3270" spans="1:2" ht="15" customHeight="1" x14ac:dyDescent="0.2">
      <c r="A3270" s="18"/>
      <c r="B3270" s="137"/>
    </row>
    <row r="3271" spans="1:2" ht="15" customHeight="1" x14ac:dyDescent="0.2">
      <c r="A3271" s="18"/>
      <c r="B3271" s="137"/>
    </row>
    <row r="3272" spans="1:2" ht="15" customHeight="1" x14ac:dyDescent="0.2">
      <c r="A3272" s="18"/>
      <c r="B3272" s="137"/>
    </row>
    <row r="3273" spans="1:2" ht="15" customHeight="1" x14ac:dyDescent="0.2">
      <c r="A3273" s="18"/>
      <c r="B3273" s="137"/>
    </row>
    <row r="3274" spans="1:2" ht="15" customHeight="1" x14ac:dyDescent="0.2">
      <c r="A3274" s="18"/>
      <c r="B3274" s="137"/>
    </row>
    <row r="3275" spans="1:2" ht="15" customHeight="1" x14ac:dyDescent="0.2">
      <c r="A3275" s="18"/>
      <c r="B3275" s="137"/>
    </row>
    <row r="3276" spans="1:2" ht="15" customHeight="1" x14ac:dyDescent="0.2">
      <c r="A3276" s="18"/>
      <c r="B3276" s="137"/>
    </row>
    <row r="3277" spans="1:2" ht="15" customHeight="1" x14ac:dyDescent="0.2">
      <c r="A3277" s="18"/>
      <c r="B3277" s="137"/>
    </row>
    <row r="3278" spans="1:2" ht="15" customHeight="1" x14ac:dyDescent="0.2">
      <c r="A3278" s="18"/>
      <c r="B3278" s="137"/>
    </row>
    <row r="3279" spans="1:2" ht="15" customHeight="1" x14ac:dyDescent="0.2">
      <c r="A3279" s="18"/>
      <c r="B3279" s="137"/>
    </row>
    <row r="3280" spans="1:2" ht="15" customHeight="1" x14ac:dyDescent="0.2">
      <c r="A3280" s="18"/>
      <c r="B3280" s="137"/>
    </row>
    <row r="3281" spans="1:2" ht="15" customHeight="1" x14ac:dyDescent="0.2">
      <c r="A3281" s="18"/>
      <c r="B3281" s="137"/>
    </row>
    <row r="3282" spans="1:2" ht="15" customHeight="1" x14ac:dyDescent="0.2">
      <c r="A3282" s="18"/>
      <c r="B3282" s="137"/>
    </row>
    <row r="3283" spans="1:2" ht="15" customHeight="1" x14ac:dyDescent="0.2">
      <c r="A3283" s="18"/>
      <c r="B3283" s="137"/>
    </row>
    <row r="3284" spans="1:2" ht="15" customHeight="1" x14ac:dyDescent="0.2">
      <c r="A3284" s="18"/>
      <c r="B3284" s="137"/>
    </row>
    <row r="3285" spans="1:2" ht="15" customHeight="1" x14ac:dyDescent="0.2">
      <c r="A3285" s="18"/>
      <c r="B3285" s="137"/>
    </row>
    <row r="3286" spans="1:2" ht="15" customHeight="1" x14ac:dyDescent="0.2">
      <c r="A3286" s="18"/>
      <c r="B3286" s="137"/>
    </row>
    <row r="3287" spans="1:2" ht="15" customHeight="1" x14ac:dyDescent="0.2">
      <c r="A3287" s="18"/>
      <c r="B3287" s="137"/>
    </row>
    <row r="3288" spans="1:2" ht="15" customHeight="1" x14ac:dyDescent="0.2">
      <c r="A3288" s="18"/>
      <c r="B3288" s="137"/>
    </row>
    <row r="3289" spans="1:2" ht="15" customHeight="1" x14ac:dyDescent="0.2">
      <c r="A3289" s="18"/>
      <c r="B3289" s="137"/>
    </row>
    <row r="3290" spans="1:2" ht="15" customHeight="1" x14ac:dyDescent="0.2">
      <c r="A3290" s="18"/>
      <c r="B3290" s="137"/>
    </row>
    <row r="3291" spans="1:2" ht="15" customHeight="1" x14ac:dyDescent="0.2">
      <c r="A3291" s="18"/>
      <c r="B3291" s="137"/>
    </row>
    <row r="3292" spans="1:2" ht="15" customHeight="1" x14ac:dyDescent="0.2">
      <c r="A3292" s="18"/>
      <c r="B3292" s="137"/>
    </row>
    <row r="3293" spans="1:2" ht="15" customHeight="1" x14ac:dyDescent="0.2">
      <c r="A3293" s="18"/>
      <c r="B3293" s="137"/>
    </row>
    <row r="3294" spans="1:2" ht="15" customHeight="1" x14ac:dyDescent="0.2">
      <c r="A3294" s="18"/>
      <c r="B3294" s="137"/>
    </row>
    <row r="3295" spans="1:2" ht="15" customHeight="1" x14ac:dyDescent="0.2">
      <c r="A3295" s="18"/>
      <c r="B3295" s="137"/>
    </row>
    <row r="3296" spans="1:2" ht="15" customHeight="1" x14ac:dyDescent="0.2">
      <c r="A3296" s="18"/>
      <c r="B3296" s="137"/>
    </row>
    <row r="3297" spans="1:2" ht="15" customHeight="1" x14ac:dyDescent="0.2">
      <c r="A3297" s="18"/>
      <c r="B3297" s="137"/>
    </row>
    <row r="3298" spans="1:2" ht="15" customHeight="1" x14ac:dyDescent="0.2">
      <c r="A3298" s="18"/>
      <c r="B3298" s="137"/>
    </row>
    <row r="3299" spans="1:2" ht="15" customHeight="1" x14ac:dyDescent="0.2">
      <c r="A3299" s="18"/>
      <c r="B3299" s="137"/>
    </row>
    <row r="3300" spans="1:2" ht="15" customHeight="1" x14ac:dyDescent="0.2">
      <c r="A3300" s="18"/>
      <c r="B3300" s="137"/>
    </row>
    <row r="3301" spans="1:2" ht="15" customHeight="1" x14ac:dyDescent="0.2">
      <c r="A3301" s="18"/>
      <c r="B3301" s="137"/>
    </row>
    <row r="3302" spans="1:2" ht="15" customHeight="1" x14ac:dyDescent="0.2">
      <c r="A3302" s="18"/>
      <c r="B3302" s="137"/>
    </row>
    <row r="3303" spans="1:2" ht="15" customHeight="1" x14ac:dyDescent="0.2">
      <c r="A3303" s="18"/>
      <c r="B3303" s="137"/>
    </row>
    <row r="3304" spans="1:2" ht="15" customHeight="1" x14ac:dyDescent="0.2">
      <c r="A3304" s="18"/>
      <c r="B3304" s="137"/>
    </row>
    <row r="3305" spans="1:2" ht="15" customHeight="1" x14ac:dyDescent="0.2">
      <c r="A3305" s="18"/>
      <c r="B3305" s="137"/>
    </row>
    <row r="3306" spans="1:2" ht="15" customHeight="1" x14ac:dyDescent="0.2">
      <c r="A3306" s="18"/>
      <c r="B3306" s="137"/>
    </row>
    <row r="3307" spans="1:2" ht="15" customHeight="1" x14ac:dyDescent="0.2">
      <c r="A3307" s="18"/>
      <c r="B3307" s="137"/>
    </row>
    <row r="3308" spans="1:2" ht="15" customHeight="1" x14ac:dyDescent="0.2">
      <c r="A3308" s="18"/>
      <c r="B3308" s="137"/>
    </row>
    <row r="3309" spans="1:2" ht="15" customHeight="1" x14ac:dyDescent="0.2">
      <c r="A3309" s="18"/>
      <c r="B3309" s="137"/>
    </row>
    <row r="3310" spans="1:2" ht="15" customHeight="1" x14ac:dyDescent="0.2">
      <c r="A3310" s="18"/>
      <c r="B3310" s="137"/>
    </row>
    <row r="3311" spans="1:2" ht="15" customHeight="1" x14ac:dyDescent="0.2">
      <c r="A3311" s="18"/>
      <c r="B3311" s="137"/>
    </row>
    <row r="3312" spans="1:2" ht="15" customHeight="1" x14ac:dyDescent="0.2">
      <c r="A3312" s="18"/>
      <c r="B3312" s="137"/>
    </row>
    <row r="3313" spans="1:2" ht="15" customHeight="1" x14ac:dyDescent="0.2">
      <c r="A3313" s="18"/>
      <c r="B3313" s="137"/>
    </row>
    <row r="3314" spans="1:2" ht="15" customHeight="1" x14ac:dyDescent="0.2">
      <c r="A3314" s="18"/>
      <c r="B3314" s="137"/>
    </row>
    <row r="3315" spans="1:2" ht="15" customHeight="1" x14ac:dyDescent="0.2">
      <c r="A3315" s="18"/>
      <c r="B3315" s="137"/>
    </row>
    <row r="3316" spans="1:2" ht="15" customHeight="1" x14ac:dyDescent="0.2">
      <c r="A3316" s="18"/>
      <c r="B3316" s="137"/>
    </row>
    <row r="3317" spans="1:2" ht="15" customHeight="1" x14ac:dyDescent="0.2">
      <c r="A3317" s="18"/>
      <c r="B3317" s="137"/>
    </row>
    <row r="3318" spans="1:2" ht="15" customHeight="1" x14ac:dyDescent="0.2">
      <c r="A3318" s="18"/>
      <c r="B3318" s="137"/>
    </row>
    <row r="3319" spans="1:2" ht="15" customHeight="1" x14ac:dyDescent="0.2">
      <c r="A3319" s="18"/>
      <c r="B3319" s="137"/>
    </row>
    <row r="3320" spans="1:2" ht="15" customHeight="1" x14ac:dyDescent="0.2">
      <c r="A3320" s="18"/>
      <c r="B3320" s="137"/>
    </row>
    <row r="3321" spans="1:2" ht="15" customHeight="1" x14ac:dyDescent="0.2">
      <c r="A3321" s="18"/>
      <c r="B3321" s="137"/>
    </row>
    <row r="3322" spans="1:2" ht="15" customHeight="1" x14ac:dyDescent="0.2">
      <c r="A3322" s="18"/>
      <c r="B3322" s="137"/>
    </row>
    <row r="3323" spans="1:2" ht="15" customHeight="1" x14ac:dyDescent="0.2">
      <c r="A3323" s="18"/>
      <c r="B3323" s="137"/>
    </row>
    <row r="3324" spans="1:2" ht="15" customHeight="1" x14ac:dyDescent="0.2">
      <c r="A3324" s="18"/>
      <c r="B3324" s="137"/>
    </row>
    <row r="3325" spans="1:2" ht="15" customHeight="1" x14ac:dyDescent="0.2">
      <c r="A3325" s="18"/>
      <c r="B3325" s="137"/>
    </row>
    <row r="3326" spans="1:2" ht="15" customHeight="1" x14ac:dyDescent="0.2">
      <c r="A3326" s="18"/>
      <c r="B3326" s="137"/>
    </row>
    <row r="3327" spans="1:2" ht="15" customHeight="1" x14ac:dyDescent="0.2">
      <c r="A3327" s="18"/>
      <c r="B3327" s="137"/>
    </row>
    <row r="3328" spans="1:2" ht="15" customHeight="1" x14ac:dyDescent="0.2">
      <c r="A3328" s="18"/>
      <c r="B3328" s="137"/>
    </row>
    <row r="3329" spans="1:2" ht="15" customHeight="1" x14ac:dyDescent="0.2">
      <c r="A3329" s="18"/>
      <c r="B3329" s="137"/>
    </row>
    <row r="3330" spans="1:2" ht="15" customHeight="1" x14ac:dyDescent="0.2">
      <c r="A3330" s="18"/>
      <c r="B3330" s="137"/>
    </row>
    <row r="3331" spans="1:2" ht="15" customHeight="1" x14ac:dyDescent="0.2">
      <c r="A3331" s="18"/>
      <c r="B3331" s="137"/>
    </row>
    <row r="3332" spans="1:2" ht="15" customHeight="1" x14ac:dyDescent="0.2">
      <c r="A3332" s="18"/>
      <c r="B3332" s="137"/>
    </row>
    <row r="3333" spans="1:2" ht="15" customHeight="1" x14ac:dyDescent="0.2">
      <c r="A3333" s="18"/>
      <c r="B3333" s="137"/>
    </row>
    <row r="3334" spans="1:2" ht="15" customHeight="1" x14ac:dyDescent="0.2">
      <c r="A3334" s="18"/>
      <c r="B3334" s="137"/>
    </row>
    <row r="3335" spans="1:2" ht="15" customHeight="1" x14ac:dyDescent="0.2">
      <c r="A3335" s="18"/>
      <c r="B3335" s="137"/>
    </row>
    <row r="3336" spans="1:2" ht="15" customHeight="1" x14ac:dyDescent="0.2">
      <c r="A3336" s="18"/>
      <c r="B3336" s="137"/>
    </row>
    <row r="3337" spans="1:2" ht="15" customHeight="1" x14ac:dyDescent="0.2">
      <c r="A3337" s="18"/>
      <c r="B3337" s="137"/>
    </row>
    <row r="3338" spans="1:2" ht="15" customHeight="1" x14ac:dyDescent="0.2">
      <c r="A3338" s="18"/>
      <c r="B3338" s="137"/>
    </row>
    <row r="3339" spans="1:2" ht="15" customHeight="1" x14ac:dyDescent="0.2">
      <c r="A3339" s="18"/>
      <c r="B3339" s="137"/>
    </row>
    <row r="3340" spans="1:2" ht="15" customHeight="1" x14ac:dyDescent="0.2">
      <c r="A3340" s="18"/>
      <c r="B3340" s="137"/>
    </row>
    <row r="3341" spans="1:2" ht="15" customHeight="1" x14ac:dyDescent="0.2">
      <c r="A3341" s="18"/>
      <c r="B3341" s="137"/>
    </row>
    <row r="3342" spans="1:2" ht="15" customHeight="1" x14ac:dyDescent="0.2">
      <c r="A3342" s="18"/>
      <c r="B3342" s="137"/>
    </row>
    <row r="3343" spans="1:2" ht="15" customHeight="1" x14ac:dyDescent="0.2">
      <c r="A3343" s="18"/>
      <c r="B3343" s="137"/>
    </row>
    <row r="3344" spans="1:2" ht="15" customHeight="1" x14ac:dyDescent="0.2">
      <c r="A3344" s="18"/>
      <c r="B3344" s="137"/>
    </row>
    <row r="3345" spans="1:2" ht="15" customHeight="1" x14ac:dyDescent="0.2">
      <c r="A3345" s="18"/>
      <c r="B3345" s="137"/>
    </row>
    <row r="3346" spans="1:2" ht="15" customHeight="1" x14ac:dyDescent="0.2">
      <c r="A3346" s="18"/>
      <c r="B3346" s="137"/>
    </row>
    <row r="3347" spans="1:2" ht="15" customHeight="1" x14ac:dyDescent="0.2">
      <c r="A3347" s="18"/>
      <c r="B3347" s="137"/>
    </row>
    <row r="3348" spans="1:2" ht="15" customHeight="1" x14ac:dyDescent="0.2">
      <c r="A3348" s="18"/>
      <c r="B3348" s="137"/>
    </row>
    <row r="3349" spans="1:2" ht="15" customHeight="1" x14ac:dyDescent="0.2">
      <c r="A3349" s="18"/>
      <c r="B3349" s="137"/>
    </row>
    <row r="3350" spans="1:2" ht="15" customHeight="1" x14ac:dyDescent="0.2">
      <c r="A3350" s="18"/>
      <c r="B3350" s="137"/>
    </row>
    <row r="3351" spans="1:2" ht="15" customHeight="1" x14ac:dyDescent="0.2">
      <c r="A3351" s="18"/>
      <c r="B3351" s="137"/>
    </row>
    <row r="3352" spans="1:2" ht="15" customHeight="1" x14ac:dyDescent="0.2">
      <c r="A3352" s="18"/>
      <c r="B3352" s="137"/>
    </row>
    <row r="3353" spans="1:2" ht="15" customHeight="1" x14ac:dyDescent="0.2">
      <c r="A3353" s="18"/>
      <c r="B3353" s="137"/>
    </row>
    <row r="3354" spans="1:2" ht="15" customHeight="1" x14ac:dyDescent="0.2">
      <c r="A3354" s="18"/>
      <c r="B3354" s="137"/>
    </row>
    <row r="3355" spans="1:2" ht="15" customHeight="1" x14ac:dyDescent="0.2">
      <c r="A3355" s="18"/>
      <c r="B3355" s="137"/>
    </row>
    <row r="3356" spans="1:2" ht="15" customHeight="1" x14ac:dyDescent="0.2">
      <c r="A3356" s="18"/>
      <c r="B3356" s="137"/>
    </row>
    <row r="3357" spans="1:2" ht="15" customHeight="1" x14ac:dyDescent="0.2">
      <c r="A3357" s="18"/>
      <c r="B3357" s="137"/>
    </row>
    <row r="3358" spans="1:2" ht="15" customHeight="1" x14ac:dyDescent="0.2">
      <c r="A3358" s="18"/>
      <c r="B3358" s="137"/>
    </row>
    <row r="3359" spans="1:2" ht="15" customHeight="1" x14ac:dyDescent="0.2">
      <c r="A3359" s="18"/>
      <c r="B3359" s="137"/>
    </row>
    <row r="3360" spans="1:2" ht="15" customHeight="1" x14ac:dyDescent="0.2">
      <c r="A3360" s="18"/>
      <c r="B3360" s="137"/>
    </row>
    <row r="3361" spans="1:2" ht="15" customHeight="1" x14ac:dyDescent="0.2">
      <c r="A3361" s="18"/>
      <c r="B3361" s="137"/>
    </row>
    <row r="3362" spans="1:2" ht="15" customHeight="1" x14ac:dyDescent="0.2">
      <c r="A3362" s="18"/>
      <c r="B3362" s="137"/>
    </row>
    <row r="3363" spans="1:2" ht="15" customHeight="1" x14ac:dyDescent="0.2">
      <c r="A3363" s="18"/>
      <c r="B3363" s="137"/>
    </row>
    <row r="3364" spans="1:2" ht="15" customHeight="1" x14ac:dyDescent="0.2">
      <c r="A3364" s="18"/>
      <c r="B3364" s="137"/>
    </row>
    <row r="3365" spans="1:2" ht="15" customHeight="1" x14ac:dyDescent="0.2">
      <c r="A3365" s="18"/>
      <c r="B3365" s="137"/>
    </row>
    <row r="3366" spans="1:2" ht="15" customHeight="1" x14ac:dyDescent="0.2">
      <c r="A3366" s="18"/>
      <c r="B3366" s="137"/>
    </row>
    <row r="3367" spans="1:2" ht="15" customHeight="1" x14ac:dyDescent="0.2">
      <c r="A3367" s="18"/>
      <c r="B3367" s="137"/>
    </row>
    <row r="3368" spans="1:2" ht="15" customHeight="1" x14ac:dyDescent="0.2">
      <c r="A3368" s="18"/>
      <c r="B3368" s="137"/>
    </row>
    <row r="3369" spans="1:2" ht="15" customHeight="1" x14ac:dyDescent="0.2">
      <c r="A3369" s="18"/>
      <c r="B3369" s="137"/>
    </row>
    <row r="3370" spans="1:2" ht="15" customHeight="1" x14ac:dyDescent="0.2">
      <c r="A3370" s="18"/>
      <c r="B3370" s="137"/>
    </row>
    <row r="3371" spans="1:2" ht="15" customHeight="1" x14ac:dyDescent="0.2">
      <c r="A3371" s="18"/>
      <c r="B3371" s="137"/>
    </row>
    <row r="3372" spans="1:2" ht="15" customHeight="1" x14ac:dyDescent="0.2">
      <c r="A3372" s="18"/>
      <c r="B3372" s="137"/>
    </row>
    <row r="3373" spans="1:2" ht="15" customHeight="1" x14ac:dyDescent="0.2">
      <c r="A3373" s="18"/>
      <c r="B3373" s="137"/>
    </row>
    <row r="3374" spans="1:2" ht="15" customHeight="1" x14ac:dyDescent="0.2">
      <c r="A3374" s="18"/>
      <c r="B3374" s="137"/>
    </row>
    <row r="3375" spans="1:2" ht="15" customHeight="1" x14ac:dyDescent="0.2">
      <c r="A3375" s="18"/>
      <c r="B3375" s="137"/>
    </row>
    <row r="3376" spans="1:2" ht="15" customHeight="1" x14ac:dyDescent="0.2">
      <c r="A3376" s="18"/>
      <c r="B3376" s="137"/>
    </row>
    <row r="3377" spans="1:2" ht="15" customHeight="1" x14ac:dyDescent="0.2">
      <c r="A3377" s="18"/>
      <c r="B3377" s="137"/>
    </row>
    <row r="3378" spans="1:2" ht="15" customHeight="1" x14ac:dyDescent="0.2">
      <c r="A3378" s="18"/>
      <c r="B3378" s="137"/>
    </row>
    <row r="3379" spans="1:2" ht="15" customHeight="1" x14ac:dyDescent="0.2">
      <c r="A3379" s="18"/>
      <c r="B3379" s="137"/>
    </row>
    <row r="3380" spans="1:2" ht="15" customHeight="1" x14ac:dyDescent="0.2">
      <c r="A3380" s="18"/>
      <c r="B3380" s="137"/>
    </row>
    <row r="3381" spans="1:2" ht="15" customHeight="1" x14ac:dyDescent="0.2">
      <c r="A3381" s="18"/>
      <c r="B3381" s="137"/>
    </row>
    <row r="3382" spans="1:2" ht="15" customHeight="1" x14ac:dyDescent="0.2">
      <c r="A3382" s="18"/>
      <c r="B3382" s="137"/>
    </row>
    <row r="3383" spans="1:2" ht="15" customHeight="1" x14ac:dyDescent="0.2">
      <c r="A3383" s="18"/>
      <c r="B3383" s="137"/>
    </row>
    <row r="3384" spans="1:2" ht="15" customHeight="1" x14ac:dyDescent="0.2">
      <c r="A3384" s="18"/>
      <c r="B3384" s="137"/>
    </row>
    <row r="3385" spans="1:2" ht="15" customHeight="1" x14ac:dyDescent="0.2">
      <c r="A3385" s="18"/>
      <c r="B3385" s="137"/>
    </row>
    <row r="3386" spans="1:2" ht="15" customHeight="1" x14ac:dyDescent="0.2">
      <c r="A3386" s="18"/>
      <c r="B3386" s="137"/>
    </row>
    <row r="3387" spans="1:2" ht="15" customHeight="1" x14ac:dyDescent="0.2">
      <c r="A3387" s="18"/>
      <c r="B3387" s="137"/>
    </row>
    <row r="3388" spans="1:2" ht="15" customHeight="1" x14ac:dyDescent="0.2">
      <c r="A3388" s="18"/>
      <c r="B3388" s="137"/>
    </row>
    <row r="3389" spans="1:2" ht="15" customHeight="1" x14ac:dyDescent="0.2">
      <c r="A3389" s="18"/>
      <c r="B3389" s="137"/>
    </row>
    <row r="3390" spans="1:2" ht="15" customHeight="1" x14ac:dyDescent="0.2">
      <c r="A3390" s="18"/>
      <c r="B3390" s="137"/>
    </row>
    <row r="3391" spans="1:2" ht="15" customHeight="1" x14ac:dyDescent="0.2">
      <c r="A3391" s="18"/>
      <c r="B3391" s="137"/>
    </row>
    <row r="3392" spans="1:2" ht="15" customHeight="1" x14ac:dyDescent="0.2">
      <c r="A3392" s="18"/>
      <c r="B3392" s="137"/>
    </row>
    <row r="3393" spans="1:2" ht="15" customHeight="1" x14ac:dyDescent="0.2">
      <c r="A3393" s="18"/>
      <c r="B3393" s="137"/>
    </row>
    <row r="3394" spans="1:2" ht="15" customHeight="1" x14ac:dyDescent="0.2">
      <c r="A3394" s="18"/>
      <c r="B3394" s="137"/>
    </row>
    <row r="3395" spans="1:2" ht="15" customHeight="1" x14ac:dyDescent="0.2">
      <c r="A3395" s="18"/>
      <c r="B3395" s="137"/>
    </row>
    <row r="3396" spans="1:2" ht="15" customHeight="1" x14ac:dyDescent="0.2">
      <c r="A3396" s="18"/>
      <c r="B3396" s="137"/>
    </row>
    <row r="3397" spans="1:2" ht="15" customHeight="1" x14ac:dyDescent="0.2">
      <c r="A3397" s="18"/>
      <c r="B3397" s="137"/>
    </row>
    <row r="3398" spans="1:2" ht="15" customHeight="1" x14ac:dyDescent="0.2">
      <c r="A3398" s="18"/>
      <c r="B3398" s="137"/>
    </row>
    <row r="3399" spans="1:2" ht="15" customHeight="1" x14ac:dyDescent="0.2">
      <c r="A3399" s="18"/>
      <c r="B3399" s="137"/>
    </row>
    <row r="3400" spans="1:2" ht="15" customHeight="1" x14ac:dyDescent="0.2">
      <c r="A3400" s="18"/>
      <c r="B3400" s="137"/>
    </row>
    <row r="3401" spans="1:2" ht="15" customHeight="1" x14ac:dyDescent="0.2">
      <c r="A3401" s="18"/>
      <c r="B3401" s="137"/>
    </row>
    <row r="3402" spans="1:2" ht="15" customHeight="1" x14ac:dyDescent="0.2">
      <c r="A3402" s="18"/>
      <c r="B3402" s="137"/>
    </row>
    <row r="3403" spans="1:2" ht="15" customHeight="1" x14ac:dyDescent="0.2">
      <c r="A3403" s="18"/>
      <c r="B3403" s="137"/>
    </row>
    <row r="3404" spans="1:2" ht="15" customHeight="1" x14ac:dyDescent="0.2">
      <c r="A3404" s="18"/>
      <c r="B3404" s="137"/>
    </row>
    <row r="3405" spans="1:2" ht="15" customHeight="1" x14ac:dyDescent="0.2">
      <c r="A3405" s="18"/>
      <c r="B3405" s="137"/>
    </row>
    <row r="3406" spans="1:2" ht="15" customHeight="1" x14ac:dyDescent="0.2">
      <c r="A3406" s="18"/>
      <c r="B3406" s="137"/>
    </row>
    <row r="3407" spans="1:2" ht="15" customHeight="1" x14ac:dyDescent="0.2">
      <c r="A3407" s="18"/>
      <c r="B3407" s="137"/>
    </row>
    <row r="3408" spans="1:2" ht="15" customHeight="1" x14ac:dyDescent="0.2">
      <c r="A3408" s="18"/>
      <c r="B3408" s="137"/>
    </row>
    <row r="3409" spans="1:2" ht="15" customHeight="1" x14ac:dyDescent="0.2">
      <c r="A3409" s="18"/>
      <c r="B3409" s="137"/>
    </row>
    <row r="3410" spans="1:2" ht="15" customHeight="1" x14ac:dyDescent="0.2">
      <c r="A3410" s="18"/>
      <c r="B3410" s="137"/>
    </row>
    <row r="3411" spans="1:2" ht="15" customHeight="1" x14ac:dyDescent="0.2">
      <c r="A3411" s="18"/>
      <c r="B3411" s="137"/>
    </row>
    <row r="3412" spans="1:2" ht="15" customHeight="1" x14ac:dyDescent="0.2">
      <c r="A3412" s="18"/>
      <c r="B3412" s="137"/>
    </row>
    <row r="3413" spans="1:2" ht="15" customHeight="1" x14ac:dyDescent="0.2">
      <c r="A3413" s="18"/>
      <c r="B3413" s="137"/>
    </row>
    <row r="3414" spans="1:2" ht="15" customHeight="1" x14ac:dyDescent="0.2">
      <c r="A3414" s="18"/>
      <c r="B3414" s="137"/>
    </row>
    <row r="3415" spans="1:2" ht="15" customHeight="1" x14ac:dyDescent="0.2">
      <c r="A3415" s="18"/>
      <c r="B3415" s="137"/>
    </row>
    <row r="3416" spans="1:2" ht="15" customHeight="1" x14ac:dyDescent="0.2">
      <c r="A3416" s="18"/>
      <c r="B3416" s="137"/>
    </row>
    <row r="3417" spans="1:2" ht="15" customHeight="1" x14ac:dyDescent="0.2">
      <c r="A3417" s="18"/>
      <c r="B3417" s="137"/>
    </row>
    <row r="3418" spans="1:2" ht="15" customHeight="1" x14ac:dyDescent="0.2">
      <c r="A3418" s="18"/>
      <c r="B3418" s="137"/>
    </row>
    <row r="3419" spans="1:2" ht="15" customHeight="1" x14ac:dyDescent="0.2">
      <c r="A3419" s="18"/>
      <c r="B3419" s="137"/>
    </row>
    <row r="3420" spans="1:2" ht="15" customHeight="1" x14ac:dyDescent="0.2">
      <c r="A3420" s="18"/>
      <c r="B3420" s="137"/>
    </row>
    <row r="3421" spans="1:2" ht="15" customHeight="1" x14ac:dyDescent="0.2">
      <c r="A3421" s="18"/>
      <c r="B3421" s="137"/>
    </row>
    <row r="3422" spans="1:2" ht="15" customHeight="1" x14ac:dyDescent="0.2">
      <c r="A3422" s="18"/>
      <c r="B3422" s="137"/>
    </row>
    <row r="3423" spans="1:2" ht="15" customHeight="1" x14ac:dyDescent="0.2">
      <c r="A3423" s="18"/>
      <c r="B3423" s="137"/>
    </row>
    <row r="3424" spans="1:2" ht="15" customHeight="1" x14ac:dyDescent="0.2">
      <c r="A3424" s="18"/>
      <c r="B3424" s="137"/>
    </row>
    <row r="3425" spans="1:2" ht="15" customHeight="1" x14ac:dyDescent="0.2">
      <c r="A3425" s="18"/>
      <c r="B3425" s="137"/>
    </row>
    <row r="3426" spans="1:2" ht="15" customHeight="1" x14ac:dyDescent="0.2">
      <c r="A3426" s="18"/>
      <c r="B3426" s="137"/>
    </row>
    <row r="3427" spans="1:2" ht="15" customHeight="1" x14ac:dyDescent="0.2">
      <c r="A3427" s="18"/>
      <c r="B3427" s="137"/>
    </row>
    <row r="3428" spans="1:2" ht="15" customHeight="1" x14ac:dyDescent="0.2">
      <c r="A3428" s="18"/>
      <c r="B3428" s="137"/>
    </row>
    <row r="3429" spans="1:2" ht="15" customHeight="1" x14ac:dyDescent="0.2">
      <c r="A3429" s="18"/>
      <c r="B3429" s="137"/>
    </row>
    <row r="3430" spans="1:2" ht="15" customHeight="1" x14ac:dyDescent="0.2">
      <c r="A3430" s="18"/>
      <c r="B3430" s="137"/>
    </row>
    <row r="3431" spans="1:2" ht="15" customHeight="1" x14ac:dyDescent="0.2">
      <c r="A3431" s="18"/>
      <c r="B3431" s="137"/>
    </row>
    <row r="3432" spans="1:2" ht="15" customHeight="1" x14ac:dyDescent="0.2">
      <c r="A3432" s="18"/>
      <c r="B3432" s="137"/>
    </row>
    <row r="3433" spans="1:2" ht="15" customHeight="1" x14ac:dyDescent="0.2">
      <c r="A3433" s="18"/>
      <c r="B3433" s="137"/>
    </row>
    <row r="3434" spans="1:2" ht="15" customHeight="1" x14ac:dyDescent="0.2">
      <c r="A3434" s="18"/>
      <c r="B3434" s="137"/>
    </row>
    <row r="3435" spans="1:2" ht="15" customHeight="1" x14ac:dyDescent="0.2">
      <c r="A3435" s="18"/>
      <c r="B3435" s="137"/>
    </row>
    <row r="3436" spans="1:2" ht="15" customHeight="1" x14ac:dyDescent="0.2">
      <c r="A3436" s="18"/>
      <c r="B3436" s="137"/>
    </row>
    <row r="3437" spans="1:2" ht="15" customHeight="1" x14ac:dyDescent="0.2">
      <c r="A3437" s="18"/>
      <c r="B3437" s="137"/>
    </row>
    <row r="3438" spans="1:2" ht="15" customHeight="1" x14ac:dyDescent="0.2">
      <c r="A3438" s="18"/>
      <c r="B3438" s="137"/>
    </row>
    <row r="3439" spans="1:2" ht="15" customHeight="1" x14ac:dyDescent="0.2">
      <c r="A3439" s="18"/>
      <c r="B3439" s="137"/>
    </row>
    <row r="3440" spans="1:2" ht="15" customHeight="1" x14ac:dyDescent="0.2">
      <c r="A3440" s="18"/>
      <c r="B3440" s="137"/>
    </row>
    <row r="3441" spans="1:2" ht="15" customHeight="1" x14ac:dyDescent="0.2">
      <c r="A3441" s="18"/>
      <c r="B3441" s="137"/>
    </row>
    <row r="3442" spans="1:2" ht="15" customHeight="1" x14ac:dyDescent="0.2">
      <c r="A3442" s="18"/>
      <c r="B3442" s="137"/>
    </row>
    <row r="3443" spans="1:2" ht="15" customHeight="1" x14ac:dyDescent="0.2">
      <c r="A3443" s="18"/>
      <c r="B3443" s="137"/>
    </row>
    <row r="3444" spans="1:2" ht="15" customHeight="1" x14ac:dyDescent="0.2">
      <c r="A3444" s="18"/>
      <c r="B3444" s="137"/>
    </row>
    <row r="3445" spans="1:2" ht="15" customHeight="1" x14ac:dyDescent="0.2">
      <c r="A3445" s="18"/>
      <c r="B3445" s="137"/>
    </row>
    <row r="3446" spans="1:2" ht="15" customHeight="1" x14ac:dyDescent="0.2">
      <c r="A3446" s="18"/>
      <c r="B3446" s="137"/>
    </row>
    <row r="3447" spans="1:2" ht="15" customHeight="1" x14ac:dyDescent="0.2">
      <c r="A3447" s="18"/>
      <c r="B3447" s="137"/>
    </row>
    <row r="3448" spans="1:2" ht="15" customHeight="1" x14ac:dyDescent="0.2">
      <c r="A3448" s="18"/>
      <c r="B3448" s="137"/>
    </row>
    <row r="3449" spans="1:2" ht="15" customHeight="1" x14ac:dyDescent="0.2">
      <c r="A3449" s="18"/>
      <c r="B3449" s="137"/>
    </row>
    <row r="3450" spans="1:2" ht="15" customHeight="1" x14ac:dyDescent="0.2">
      <c r="A3450" s="18"/>
      <c r="B3450" s="137"/>
    </row>
    <row r="3451" spans="1:2" ht="15" customHeight="1" x14ac:dyDescent="0.2">
      <c r="A3451" s="18"/>
      <c r="B3451" s="137"/>
    </row>
    <row r="3452" spans="1:2" ht="15" customHeight="1" x14ac:dyDescent="0.2">
      <c r="A3452" s="18"/>
      <c r="B3452" s="137"/>
    </row>
    <row r="3453" spans="1:2" ht="15" customHeight="1" x14ac:dyDescent="0.2">
      <c r="A3453" s="18"/>
      <c r="B3453" s="137"/>
    </row>
    <row r="3454" spans="1:2" ht="15" customHeight="1" x14ac:dyDescent="0.2">
      <c r="A3454" s="18"/>
      <c r="B3454" s="137"/>
    </row>
    <row r="3455" spans="1:2" ht="15" customHeight="1" x14ac:dyDescent="0.2">
      <c r="A3455" s="18"/>
      <c r="B3455" s="137"/>
    </row>
    <row r="3456" spans="1:2" ht="15" customHeight="1" x14ac:dyDescent="0.2">
      <c r="A3456" s="18"/>
      <c r="B3456" s="137"/>
    </row>
    <row r="3457" spans="1:2" ht="15" customHeight="1" x14ac:dyDescent="0.2">
      <c r="A3457" s="18"/>
      <c r="B3457" s="137"/>
    </row>
    <row r="3458" spans="1:2" ht="15" customHeight="1" x14ac:dyDescent="0.2">
      <c r="A3458" s="18"/>
      <c r="B3458" s="137"/>
    </row>
    <row r="3459" spans="1:2" ht="15" customHeight="1" x14ac:dyDescent="0.2">
      <c r="A3459" s="18"/>
      <c r="B3459" s="137"/>
    </row>
    <row r="3460" spans="1:2" ht="15" customHeight="1" x14ac:dyDescent="0.2">
      <c r="A3460" s="18"/>
      <c r="B3460" s="137"/>
    </row>
    <row r="3461" spans="1:2" ht="15" customHeight="1" x14ac:dyDescent="0.2">
      <c r="A3461" s="18"/>
      <c r="B3461" s="137"/>
    </row>
    <row r="3462" spans="1:2" ht="15" customHeight="1" x14ac:dyDescent="0.2">
      <c r="A3462" s="18"/>
      <c r="B3462" s="137"/>
    </row>
    <row r="3463" spans="1:2" ht="15" customHeight="1" x14ac:dyDescent="0.2">
      <c r="A3463" s="18"/>
      <c r="B3463" s="137"/>
    </row>
    <row r="3464" spans="1:2" ht="15" customHeight="1" x14ac:dyDescent="0.2">
      <c r="A3464" s="18"/>
      <c r="B3464" s="137"/>
    </row>
    <row r="3465" spans="1:2" ht="15" customHeight="1" x14ac:dyDescent="0.2">
      <c r="A3465" s="18"/>
      <c r="B3465" s="137"/>
    </row>
    <row r="3466" spans="1:2" ht="15" customHeight="1" x14ac:dyDescent="0.2">
      <c r="A3466" s="18"/>
      <c r="B3466" s="137"/>
    </row>
    <row r="3467" spans="1:2" ht="15" customHeight="1" x14ac:dyDescent="0.2">
      <c r="A3467" s="18"/>
      <c r="B3467" s="137"/>
    </row>
    <row r="3468" spans="1:2" ht="15" customHeight="1" x14ac:dyDescent="0.2">
      <c r="A3468" s="18"/>
      <c r="B3468" s="137"/>
    </row>
    <row r="3469" spans="1:2" ht="15" customHeight="1" x14ac:dyDescent="0.2">
      <c r="A3469" s="18"/>
      <c r="B3469" s="137"/>
    </row>
    <row r="3470" spans="1:2" ht="15" customHeight="1" x14ac:dyDescent="0.2">
      <c r="A3470" s="18"/>
      <c r="B3470" s="137"/>
    </row>
    <row r="3471" spans="1:2" ht="15" customHeight="1" x14ac:dyDescent="0.2">
      <c r="A3471" s="18"/>
      <c r="B3471" s="137"/>
    </row>
    <row r="3472" spans="1:2" ht="15" customHeight="1" x14ac:dyDescent="0.2">
      <c r="A3472" s="18"/>
      <c r="B3472" s="137"/>
    </row>
    <row r="3473" spans="1:2" ht="15" customHeight="1" x14ac:dyDescent="0.2">
      <c r="A3473" s="18"/>
      <c r="B3473" s="137"/>
    </row>
    <row r="3474" spans="1:2" ht="15" customHeight="1" x14ac:dyDescent="0.2">
      <c r="A3474" s="18"/>
      <c r="B3474" s="137"/>
    </row>
    <row r="3475" spans="1:2" ht="15" customHeight="1" x14ac:dyDescent="0.2">
      <c r="A3475" s="18"/>
      <c r="B3475" s="137"/>
    </row>
    <row r="3476" spans="1:2" ht="15" customHeight="1" x14ac:dyDescent="0.2">
      <c r="A3476" s="18"/>
      <c r="B3476" s="137"/>
    </row>
    <row r="3477" spans="1:2" ht="15" customHeight="1" x14ac:dyDescent="0.2">
      <c r="A3477" s="18"/>
      <c r="B3477" s="137"/>
    </row>
    <row r="3478" spans="1:2" ht="15" customHeight="1" x14ac:dyDescent="0.2">
      <c r="A3478" s="18"/>
      <c r="B3478" s="137"/>
    </row>
    <row r="3479" spans="1:2" ht="15" customHeight="1" x14ac:dyDescent="0.2">
      <c r="A3479" s="18"/>
      <c r="B3479" s="137"/>
    </row>
    <row r="3480" spans="1:2" ht="15" customHeight="1" x14ac:dyDescent="0.2">
      <c r="A3480" s="18"/>
      <c r="B3480" s="137"/>
    </row>
    <row r="3481" spans="1:2" ht="15" customHeight="1" x14ac:dyDescent="0.2">
      <c r="A3481" s="18"/>
      <c r="B3481" s="137"/>
    </row>
    <row r="3482" spans="1:2" ht="15" customHeight="1" x14ac:dyDescent="0.2">
      <c r="A3482" s="18"/>
      <c r="B3482" s="137"/>
    </row>
    <row r="3483" spans="1:2" ht="15" customHeight="1" x14ac:dyDescent="0.2">
      <c r="A3483" s="18"/>
      <c r="B3483" s="137"/>
    </row>
    <row r="3484" spans="1:2" ht="15" customHeight="1" x14ac:dyDescent="0.2">
      <c r="A3484" s="18"/>
      <c r="B3484" s="137"/>
    </row>
    <row r="3485" spans="1:2" ht="15" customHeight="1" x14ac:dyDescent="0.2">
      <c r="A3485" s="18"/>
      <c r="B3485" s="137"/>
    </row>
    <row r="3486" spans="1:2" ht="15" customHeight="1" x14ac:dyDescent="0.2">
      <c r="A3486" s="18"/>
      <c r="B3486" s="137"/>
    </row>
    <row r="3487" spans="1:2" ht="15" customHeight="1" x14ac:dyDescent="0.2">
      <c r="A3487" s="18"/>
      <c r="B3487" s="137"/>
    </row>
    <row r="3488" spans="1:2" ht="15" customHeight="1" x14ac:dyDescent="0.2">
      <c r="A3488" s="18"/>
      <c r="B3488" s="137"/>
    </row>
    <row r="3489" spans="1:2" ht="15" customHeight="1" x14ac:dyDescent="0.2">
      <c r="A3489" s="18"/>
      <c r="B3489" s="137"/>
    </row>
    <row r="3490" spans="1:2" ht="15" customHeight="1" x14ac:dyDescent="0.2">
      <c r="A3490" s="18"/>
      <c r="B3490" s="137"/>
    </row>
    <row r="3491" spans="1:2" ht="15" customHeight="1" x14ac:dyDescent="0.2">
      <c r="A3491" s="18"/>
      <c r="B3491" s="137"/>
    </row>
    <row r="3492" spans="1:2" ht="15" customHeight="1" x14ac:dyDescent="0.2">
      <c r="A3492" s="18"/>
      <c r="B3492" s="137"/>
    </row>
    <row r="3493" spans="1:2" ht="15" customHeight="1" x14ac:dyDescent="0.2">
      <c r="A3493" s="18"/>
      <c r="B3493" s="137"/>
    </row>
    <row r="3494" spans="1:2" ht="15" customHeight="1" x14ac:dyDescent="0.2">
      <c r="A3494" s="18"/>
      <c r="B3494" s="137"/>
    </row>
    <row r="3495" spans="1:2" ht="15" customHeight="1" x14ac:dyDescent="0.2">
      <c r="A3495" s="18"/>
      <c r="B3495" s="137"/>
    </row>
    <row r="3496" spans="1:2" ht="15" customHeight="1" x14ac:dyDescent="0.2">
      <c r="A3496" s="18"/>
      <c r="B3496" s="137"/>
    </row>
    <row r="3497" spans="1:2" ht="15" customHeight="1" x14ac:dyDescent="0.2">
      <c r="A3497" s="18"/>
      <c r="B3497" s="137"/>
    </row>
    <row r="3498" spans="1:2" ht="15" customHeight="1" x14ac:dyDescent="0.2">
      <c r="A3498" s="18"/>
      <c r="B3498" s="137"/>
    </row>
    <row r="3499" spans="1:2" ht="15" customHeight="1" x14ac:dyDescent="0.2">
      <c r="A3499" s="18"/>
      <c r="B3499" s="137"/>
    </row>
    <row r="3500" spans="1:2" ht="15" customHeight="1" x14ac:dyDescent="0.2">
      <c r="A3500" s="18"/>
      <c r="B3500" s="137"/>
    </row>
    <row r="3501" spans="1:2" ht="15" customHeight="1" x14ac:dyDescent="0.2">
      <c r="A3501" s="18"/>
      <c r="B3501" s="137"/>
    </row>
    <row r="3502" spans="1:2" ht="15" customHeight="1" x14ac:dyDescent="0.2">
      <c r="A3502" s="18"/>
      <c r="B3502" s="137"/>
    </row>
    <row r="3503" spans="1:2" ht="15" customHeight="1" x14ac:dyDescent="0.2">
      <c r="A3503" s="18"/>
      <c r="B3503" s="137"/>
    </row>
    <row r="3504" spans="1:2" ht="15" customHeight="1" x14ac:dyDescent="0.2">
      <c r="A3504" s="18"/>
      <c r="B3504" s="137"/>
    </row>
    <row r="3505" spans="1:2" ht="15" customHeight="1" x14ac:dyDescent="0.2">
      <c r="A3505" s="18"/>
      <c r="B3505" s="137"/>
    </row>
    <row r="3506" spans="1:2" ht="15" customHeight="1" x14ac:dyDescent="0.2">
      <c r="A3506" s="18"/>
      <c r="B3506" s="137"/>
    </row>
    <row r="3507" spans="1:2" ht="15" customHeight="1" x14ac:dyDescent="0.2">
      <c r="A3507" s="18"/>
      <c r="B3507" s="137"/>
    </row>
    <row r="3508" spans="1:2" ht="15" customHeight="1" x14ac:dyDescent="0.2">
      <c r="A3508" s="18"/>
      <c r="B3508" s="137"/>
    </row>
    <row r="3509" spans="1:2" ht="15" customHeight="1" x14ac:dyDescent="0.2">
      <c r="A3509" s="18"/>
      <c r="B3509" s="137"/>
    </row>
    <row r="3510" spans="1:2" ht="15" customHeight="1" x14ac:dyDescent="0.2">
      <c r="A3510" s="18"/>
      <c r="B3510" s="137"/>
    </row>
    <row r="3511" spans="1:2" ht="15" customHeight="1" x14ac:dyDescent="0.2">
      <c r="A3511" s="18"/>
      <c r="B3511" s="137"/>
    </row>
    <row r="3512" spans="1:2" ht="15" customHeight="1" x14ac:dyDescent="0.2">
      <c r="A3512" s="18"/>
      <c r="B3512" s="137"/>
    </row>
    <row r="3513" spans="1:2" ht="15" customHeight="1" x14ac:dyDescent="0.2">
      <c r="A3513" s="18"/>
      <c r="B3513" s="137"/>
    </row>
    <row r="3514" spans="1:2" ht="15" customHeight="1" x14ac:dyDescent="0.2">
      <c r="A3514" s="18"/>
      <c r="B3514" s="137"/>
    </row>
    <row r="3515" spans="1:2" ht="15" customHeight="1" x14ac:dyDescent="0.2">
      <c r="A3515" s="18"/>
      <c r="B3515" s="137"/>
    </row>
    <row r="3516" spans="1:2" ht="15" customHeight="1" x14ac:dyDescent="0.2">
      <c r="A3516" s="18"/>
      <c r="B3516" s="137"/>
    </row>
    <row r="3517" spans="1:2" ht="15" customHeight="1" x14ac:dyDescent="0.2">
      <c r="A3517" s="18"/>
      <c r="B3517" s="137"/>
    </row>
    <row r="3518" spans="1:2" ht="15" customHeight="1" x14ac:dyDescent="0.2">
      <c r="A3518" s="18"/>
      <c r="B3518" s="137"/>
    </row>
    <row r="3519" spans="1:2" ht="15" customHeight="1" x14ac:dyDescent="0.2">
      <c r="A3519" s="18"/>
      <c r="B3519" s="137"/>
    </row>
    <row r="3520" spans="1:2" ht="15" customHeight="1" x14ac:dyDescent="0.2">
      <c r="A3520" s="18"/>
      <c r="B3520" s="137"/>
    </row>
    <row r="3521" spans="1:2" ht="15" customHeight="1" x14ac:dyDescent="0.2">
      <c r="A3521" s="18"/>
      <c r="B3521" s="137"/>
    </row>
    <row r="3522" spans="1:2" ht="15" customHeight="1" x14ac:dyDescent="0.2">
      <c r="A3522" s="18"/>
      <c r="B3522" s="137"/>
    </row>
    <row r="3523" spans="1:2" ht="15" customHeight="1" x14ac:dyDescent="0.2">
      <c r="A3523" s="18"/>
      <c r="B3523" s="137"/>
    </row>
    <row r="3524" spans="1:2" ht="15" customHeight="1" x14ac:dyDescent="0.2">
      <c r="A3524" s="18"/>
      <c r="B3524" s="137"/>
    </row>
    <row r="3525" spans="1:2" ht="15" customHeight="1" x14ac:dyDescent="0.2">
      <c r="A3525" s="18"/>
      <c r="B3525" s="137"/>
    </row>
    <row r="3526" spans="1:2" ht="15" customHeight="1" x14ac:dyDescent="0.2">
      <c r="A3526" s="18"/>
      <c r="B3526" s="137"/>
    </row>
    <row r="3527" spans="1:2" ht="15" customHeight="1" x14ac:dyDescent="0.2">
      <c r="A3527" s="18"/>
      <c r="B3527" s="137"/>
    </row>
    <row r="3528" spans="1:2" ht="15" customHeight="1" x14ac:dyDescent="0.2">
      <c r="A3528" s="18"/>
      <c r="B3528" s="137"/>
    </row>
    <row r="3529" spans="1:2" ht="15" customHeight="1" x14ac:dyDescent="0.2">
      <c r="A3529" s="18"/>
      <c r="B3529" s="137"/>
    </row>
    <row r="3530" spans="1:2" ht="15" customHeight="1" x14ac:dyDescent="0.2">
      <c r="A3530" s="18"/>
      <c r="B3530" s="137"/>
    </row>
    <row r="3531" spans="1:2" ht="15" customHeight="1" x14ac:dyDescent="0.2">
      <c r="A3531" s="18"/>
      <c r="B3531" s="137"/>
    </row>
    <row r="3532" spans="1:2" ht="15" customHeight="1" x14ac:dyDescent="0.2">
      <c r="A3532" s="18"/>
      <c r="B3532" s="137"/>
    </row>
    <row r="3533" spans="1:2" ht="15" customHeight="1" x14ac:dyDescent="0.2">
      <c r="A3533" s="18"/>
      <c r="B3533" s="137"/>
    </row>
    <row r="3534" spans="1:2" ht="15" customHeight="1" x14ac:dyDescent="0.2">
      <c r="A3534" s="18"/>
      <c r="B3534" s="137"/>
    </row>
    <row r="3535" spans="1:2" ht="15" customHeight="1" x14ac:dyDescent="0.2">
      <c r="A3535" s="18"/>
      <c r="B3535" s="137"/>
    </row>
    <row r="3536" spans="1:2" ht="15" customHeight="1" x14ac:dyDescent="0.2">
      <c r="A3536" s="18"/>
      <c r="B3536" s="137"/>
    </row>
    <row r="3537" spans="1:2" ht="15" customHeight="1" x14ac:dyDescent="0.2">
      <c r="A3537" s="18"/>
      <c r="B3537" s="137"/>
    </row>
    <row r="3538" spans="1:2" ht="15" customHeight="1" x14ac:dyDescent="0.2">
      <c r="A3538" s="18"/>
      <c r="B3538" s="137"/>
    </row>
    <row r="3539" spans="1:2" ht="15" customHeight="1" x14ac:dyDescent="0.2">
      <c r="A3539" s="18"/>
      <c r="B3539" s="137"/>
    </row>
    <row r="3540" spans="1:2" ht="15" customHeight="1" x14ac:dyDescent="0.2">
      <c r="A3540" s="18"/>
      <c r="B3540" s="137"/>
    </row>
    <row r="3541" spans="1:2" ht="15" customHeight="1" x14ac:dyDescent="0.2">
      <c r="A3541" s="18"/>
      <c r="B3541" s="137"/>
    </row>
    <row r="3542" spans="1:2" ht="15" customHeight="1" x14ac:dyDescent="0.2">
      <c r="A3542" s="18"/>
      <c r="B3542" s="137"/>
    </row>
    <row r="3543" spans="1:2" ht="15" customHeight="1" x14ac:dyDescent="0.2">
      <c r="A3543" s="18"/>
      <c r="B3543" s="137"/>
    </row>
    <row r="3544" spans="1:2" ht="15" customHeight="1" x14ac:dyDescent="0.2">
      <c r="A3544" s="18"/>
      <c r="B3544" s="137"/>
    </row>
    <row r="3545" spans="1:2" ht="15" customHeight="1" x14ac:dyDescent="0.2">
      <c r="A3545" s="18"/>
      <c r="B3545" s="137"/>
    </row>
    <row r="3546" spans="1:2" ht="15" customHeight="1" x14ac:dyDescent="0.2">
      <c r="A3546" s="18"/>
      <c r="B3546" s="137"/>
    </row>
    <row r="3547" spans="1:2" ht="15" customHeight="1" x14ac:dyDescent="0.2">
      <c r="A3547" s="18"/>
      <c r="B3547" s="137"/>
    </row>
    <row r="3548" spans="1:2" ht="15" customHeight="1" x14ac:dyDescent="0.2">
      <c r="A3548" s="18"/>
      <c r="B3548" s="137"/>
    </row>
    <row r="3549" spans="1:2" ht="15" customHeight="1" x14ac:dyDescent="0.2">
      <c r="A3549" s="18"/>
      <c r="B3549" s="137"/>
    </row>
    <row r="3550" spans="1:2" ht="15" customHeight="1" x14ac:dyDescent="0.2">
      <c r="A3550" s="18"/>
      <c r="B3550" s="137"/>
    </row>
    <row r="3551" spans="1:2" ht="15" customHeight="1" x14ac:dyDescent="0.2">
      <c r="A3551" s="18"/>
      <c r="B3551" s="137"/>
    </row>
    <row r="3552" spans="1:2" ht="15" customHeight="1" x14ac:dyDescent="0.2">
      <c r="A3552" s="18"/>
      <c r="B3552" s="137"/>
    </row>
    <row r="3553" spans="1:2" ht="15" customHeight="1" x14ac:dyDescent="0.2">
      <c r="A3553" s="18"/>
      <c r="B3553" s="137"/>
    </row>
    <row r="3554" spans="1:2" ht="15" customHeight="1" x14ac:dyDescent="0.2">
      <c r="A3554" s="18"/>
      <c r="B3554" s="137"/>
    </row>
    <row r="3555" spans="1:2" ht="15" customHeight="1" x14ac:dyDescent="0.2">
      <c r="A3555" s="18"/>
      <c r="B3555" s="137"/>
    </row>
    <row r="3556" spans="1:2" ht="15" customHeight="1" x14ac:dyDescent="0.2">
      <c r="A3556" s="18"/>
      <c r="B3556" s="137"/>
    </row>
    <row r="3557" spans="1:2" ht="15" customHeight="1" x14ac:dyDescent="0.2">
      <c r="A3557" s="18"/>
      <c r="B3557" s="137"/>
    </row>
    <row r="3558" spans="1:2" ht="15" customHeight="1" x14ac:dyDescent="0.2">
      <c r="A3558" s="18"/>
      <c r="B3558" s="137"/>
    </row>
    <row r="3559" spans="1:2" ht="15" customHeight="1" x14ac:dyDescent="0.2">
      <c r="A3559" s="18"/>
      <c r="B3559" s="137"/>
    </row>
    <row r="3560" spans="1:2" ht="15" customHeight="1" x14ac:dyDescent="0.2">
      <c r="A3560" s="18"/>
      <c r="B3560" s="137"/>
    </row>
    <row r="3561" spans="1:2" ht="15" customHeight="1" x14ac:dyDescent="0.2">
      <c r="A3561" s="18"/>
      <c r="B3561" s="137"/>
    </row>
    <row r="3562" spans="1:2" ht="15" customHeight="1" x14ac:dyDescent="0.2">
      <c r="A3562" s="18"/>
      <c r="B3562" s="137"/>
    </row>
    <row r="3563" spans="1:2" ht="15" customHeight="1" x14ac:dyDescent="0.2">
      <c r="A3563" s="18"/>
      <c r="B3563" s="137"/>
    </row>
    <row r="3564" spans="1:2" ht="15" customHeight="1" x14ac:dyDescent="0.2">
      <c r="A3564" s="18"/>
      <c r="B3564" s="137"/>
    </row>
    <row r="3565" spans="1:2" ht="15" customHeight="1" x14ac:dyDescent="0.2">
      <c r="A3565" s="18"/>
      <c r="B3565" s="137"/>
    </row>
    <row r="3566" spans="1:2" ht="15" customHeight="1" x14ac:dyDescent="0.2">
      <c r="A3566" s="18"/>
      <c r="B3566" s="137"/>
    </row>
    <row r="3567" spans="1:2" ht="15" customHeight="1" x14ac:dyDescent="0.2">
      <c r="A3567" s="18"/>
      <c r="B3567" s="137"/>
    </row>
    <row r="3568" spans="1:2" ht="15" customHeight="1" x14ac:dyDescent="0.2">
      <c r="A3568" s="18"/>
      <c r="B3568" s="137"/>
    </row>
    <row r="3569" spans="1:2" ht="15" customHeight="1" x14ac:dyDescent="0.2">
      <c r="A3569" s="18"/>
      <c r="B3569" s="137"/>
    </row>
    <row r="3570" spans="1:2" ht="15" customHeight="1" x14ac:dyDescent="0.2">
      <c r="A3570" s="18"/>
      <c r="B3570" s="137"/>
    </row>
    <row r="3571" spans="1:2" ht="15" customHeight="1" x14ac:dyDescent="0.2">
      <c r="A3571" s="18"/>
      <c r="B3571" s="137"/>
    </row>
    <row r="3572" spans="1:2" ht="15" customHeight="1" x14ac:dyDescent="0.2">
      <c r="A3572" s="18"/>
      <c r="B3572" s="137"/>
    </row>
    <row r="3573" spans="1:2" ht="15" customHeight="1" x14ac:dyDescent="0.2">
      <c r="A3573" s="18"/>
      <c r="B3573" s="137"/>
    </row>
    <row r="3574" spans="1:2" ht="15" customHeight="1" x14ac:dyDescent="0.2">
      <c r="A3574" s="18"/>
      <c r="B3574" s="137"/>
    </row>
    <row r="3575" spans="1:2" ht="15" customHeight="1" x14ac:dyDescent="0.2">
      <c r="A3575" s="18"/>
      <c r="B3575" s="137"/>
    </row>
    <row r="3576" spans="1:2" ht="15" customHeight="1" x14ac:dyDescent="0.2">
      <c r="A3576" s="18"/>
      <c r="B3576" s="137"/>
    </row>
    <row r="3577" spans="1:2" ht="15" customHeight="1" x14ac:dyDescent="0.2">
      <c r="A3577" s="18"/>
      <c r="B3577" s="137"/>
    </row>
    <row r="3578" spans="1:2" ht="15" customHeight="1" x14ac:dyDescent="0.2">
      <c r="A3578" s="18"/>
      <c r="B3578" s="137"/>
    </row>
    <row r="3579" spans="1:2" ht="15" customHeight="1" x14ac:dyDescent="0.2">
      <c r="A3579" s="18"/>
      <c r="B3579" s="137"/>
    </row>
    <row r="3580" spans="1:2" ht="15" customHeight="1" x14ac:dyDescent="0.2">
      <c r="A3580" s="18"/>
      <c r="B3580" s="137"/>
    </row>
    <row r="3581" spans="1:2" ht="15" customHeight="1" x14ac:dyDescent="0.2">
      <c r="A3581" s="18"/>
      <c r="B3581" s="137"/>
    </row>
    <row r="3582" spans="1:2" ht="15" customHeight="1" x14ac:dyDescent="0.2">
      <c r="A3582" s="18"/>
      <c r="B3582" s="137"/>
    </row>
    <row r="3583" spans="1:2" ht="15" customHeight="1" x14ac:dyDescent="0.2">
      <c r="A3583" s="18"/>
      <c r="B3583" s="137"/>
    </row>
    <row r="3584" spans="1:2" ht="15" customHeight="1" x14ac:dyDescent="0.2">
      <c r="A3584" s="18"/>
      <c r="B3584" s="137"/>
    </row>
    <row r="3585" spans="1:2" ht="15" customHeight="1" x14ac:dyDescent="0.2">
      <c r="A3585" s="18"/>
      <c r="B3585" s="137"/>
    </row>
    <row r="3586" spans="1:2" ht="15" customHeight="1" x14ac:dyDescent="0.2">
      <c r="A3586" s="18"/>
      <c r="B3586" s="137"/>
    </row>
    <row r="3587" spans="1:2" ht="15" customHeight="1" x14ac:dyDescent="0.2">
      <c r="A3587" s="18"/>
      <c r="B3587" s="137"/>
    </row>
    <row r="3588" spans="1:2" ht="15" customHeight="1" x14ac:dyDescent="0.2">
      <c r="A3588" s="18"/>
      <c r="B3588" s="137"/>
    </row>
    <row r="3589" spans="1:2" ht="15" customHeight="1" x14ac:dyDescent="0.2">
      <c r="A3589" s="18"/>
      <c r="B3589" s="137"/>
    </row>
    <row r="3590" spans="1:2" ht="15" customHeight="1" x14ac:dyDescent="0.2">
      <c r="A3590" s="18"/>
      <c r="B3590" s="137"/>
    </row>
    <row r="3591" spans="1:2" ht="15" customHeight="1" x14ac:dyDescent="0.2">
      <c r="A3591" s="18"/>
      <c r="B3591" s="137"/>
    </row>
    <row r="3592" spans="1:2" ht="15" customHeight="1" x14ac:dyDescent="0.2">
      <c r="A3592" s="18"/>
      <c r="B3592" s="137"/>
    </row>
    <row r="3593" spans="1:2" ht="15" customHeight="1" x14ac:dyDescent="0.2">
      <c r="A3593" s="18"/>
      <c r="B3593" s="137"/>
    </row>
    <row r="3594" spans="1:2" ht="15" customHeight="1" x14ac:dyDescent="0.2">
      <c r="A3594" s="18"/>
      <c r="B3594" s="137"/>
    </row>
    <row r="3595" spans="1:2" ht="15" customHeight="1" x14ac:dyDescent="0.2">
      <c r="A3595" s="18"/>
      <c r="B3595" s="137"/>
    </row>
    <row r="3596" spans="1:2" ht="15" customHeight="1" x14ac:dyDescent="0.2">
      <c r="A3596" s="18"/>
      <c r="B3596" s="137"/>
    </row>
    <row r="3597" spans="1:2" ht="15" customHeight="1" x14ac:dyDescent="0.2">
      <c r="A3597" s="18"/>
      <c r="B3597" s="137"/>
    </row>
    <row r="3598" spans="1:2" ht="15" customHeight="1" x14ac:dyDescent="0.2">
      <c r="A3598" s="18"/>
      <c r="B3598" s="137"/>
    </row>
    <row r="3599" spans="1:2" ht="15" customHeight="1" x14ac:dyDescent="0.2">
      <c r="A3599" s="18"/>
      <c r="B3599" s="137"/>
    </row>
    <row r="3600" spans="1:2" ht="15" customHeight="1" x14ac:dyDescent="0.2">
      <c r="A3600" s="18"/>
      <c r="B3600" s="137"/>
    </row>
    <row r="3601" spans="1:2" ht="15" customHeight="1" x14ac:dyDescent="0.2">
      <c r="A3601" s="18"/>
      <c r="B3601" s="137"/>
    </row>
    <row r="3602" spans="1:2" ht="15" customHeight="1" x14ac:dyDescent="0.2">
      <c r="A3602" s="18"/>
      <c r="B3602" s="137"/>
    </row>
    <row r="3603" spans="1:2" ht="15" customHeight="1" x14ac:dyDescent="0.2">
      <c r="A3603" s="18"/>
      <c r="B3603" s="137"/>
    </row>
    <row r="3604" spans="1:2" ht="15" customHeight="1" x14ac:dyDescent="0.2">
      <c r="A3604" s="18"/>
      <c r="B3604" s="137"/>
    </row>
    <row r="3605" spans="1:2" ht="15" customHeight="1" x14ac:dyDescent="0.2">
      <c r="A3605" s="18"/>
      <c r="B3605" s="137"/>
    </row>
    <row r="3606" spans="1:2" ht="15" customHeight="1" x14ac:dyDescent="0.2">
      <c r="A3606" s="18"/>
      <c r="B3606" s="137"/>
    </row>
    <row r="3607" spans="1:2" ht="15" customHeight="1" x14ac:dyDescent="0.2">
      <c r="A3607" s="18"/>
      <c r="B3607" s="137"/>
    </row>
    <row r="3608" spans="1:2" ht="15" customHeight="1" x14ac:dyDescent="0.2">
      <c r="A3608" s="18"/>
      <c r="B3608" s="137"/>
    </row>
    <row r="3609" spans="1:2" ht="15" customHeight="1" x14ac:dyDescent="0.2">
      <c r="A3609" s="18"/>
      <c r="B3609" s="137"/>
    </row>
    <row r="3610" spans="1:2" ht="15" customHeight="1" x14ac:dyDescent="0.2">
      <c r="A3610" s="18"/>
      <c r="B3610" s="137"/>
    </row>
    <row r="3611" spans="1:2" ht="15" customHeight="1" x14ac:dyDescent="0.2">
      <c r="A3611" s="18"/>
      <c r="B3611" s="137"/>
    </row>
    <row r="3612" spans="1:2" ht="15" customHeight="1" x14ac:dyDescent="0.2">
      <c r="A3612" s="18"/>
      <c r="B3612" s="137"/>
    </row>
    <row r="3613" spans="1:2" ht="15" customHeight="1" x14ac:dyDescent="0.2">
      <c r="A3613" s="18"/>
      <c r="B3613" s="137"/>
    </row>
    <row r="3614" spans="1:2" ht="15" customHeight="1" x14ac:dyDescent="0.2">
      <c r="A3614" s="18"/>
      <c r="B3614" s="137"/>
    </row>
    <row r="3615" spans="1:2" ht="15" customHeight="1" x14ac:dyDescent="0.2">
      <c r="A3615" s="18"/>
      <c r="B3615" s="137"/>
    </row>
    <row r="3616" spans="1:2" ht="15" customHeight="1" x14ac:dyDescent="0.2">
      <c r="A3616" s="18"/>
      <c r="B3616" s="137"/>
    </row>
    <row r="3617" spans="1:2" ht="15" customHeight="1" x14ac:dyDescent="0.2">
      <c r="A3617" s="18"/>
      <c r="B3617" s="137"/>
    </row>
    <row r="3618" spans="1:2" ht="15" customHeight="1" x14ac:dyDescent="0.2">
      <c r="A3618" s="18"/>
      <c r="B3618" s="137"/>
    </row>
    <row r="3619" spans="1:2" ht="15" customHeight="1" x14ac:dyDescent="0.2">
      <c r="A3619" s="18"/>
      <c r="B3619" s="137"/>
    </row>
    <row r="3620" spans="1:2" ht="15" customHeight="1" x14ac:dyDescent="0.2">
      <c r="A3620" s="18"/>
      <c r="B3620" s="137"/>
    </row>
    <row r="3621" spans="1:2" ht="15" customHeight="1" x14ac:dyDescent="0.2">
      <c r="A3621" s="18"/>
      <c r="B3621" s="137"/>
    </row>
    <row r="3622" spans="1:2" ht="15" customHeight="1" x14ac:dyDescent="0.2">
      <c r="A3622" s="18"/>
      <c r="B3622" s="137"/>
    </row>
    <row r="3623" spans="1:2" ht="15" customHeight="1" x14ac:dyDescent="0.2">
      <c r="A3623" s="18"/>
      <c r="B3623" s="137"/>
    </row>
    <row r="3624" spans="1:2" ht="15" customHeight="1" x14ac:dyDescent="0.2">
      <c r="A3624" s="18"/>
      <c r="B3624" s="137"/>
    </row>
    <row r="3625" spans="1:2" ht="15" customHeight="1" x14ac:dyDescent="0.2">
      <c r="A3625" s="18"/>
      <c r="B3625" s="137"/>
    </row>
    <row r="3626" spans="1:2" ht="15" customHeight="1" x14ac:dyDescent="0.2">
      <c r="A3626" s="18"/>
      <c r="B3626" s="137"/>
    </row>
    <row r="3627" spans="1:2" ht="15" customHeight="1" x14ac:dyDescent="0.2">
      <c r="A3627" s="18"/>
      <c r="B3627" s="137"/>
    </row>
    <row r="3628" spans="1:2" ht="15" customHeight="1" x14ac:dyDescent="0.2">
      <c r="A3628" s="18"/>
      <c r="B3628" s="137"/>
    </row>
    <row r="3629" spans="1:2" ht="15" customHeight="1" x14ac:dyDescent="0.2">
      <c r="A3629" s="18"/>
      <c r="B3629" s="137"/>
    </row>
    <row r="3630" spans="1:2" ht="15" customHeight="1" x14ac:dyDescent="0.2">
      <c r="A3630" s="18"/>
      <c r="B3630" s="137"/>
    </row>
    <row r="3631" spans="1:2" ht="15" customHeight="1" x14ac:dyDescent="0.2">
      <c r="A3631" s="18"/>
      <c r="B3631" s="137"/>
    </row>
    <row r="3632" spans="1:2" ht="15" customHeight="1" x14ac:dyDescent="0.2">
      <c r="A3632" s="18"/>
      <c r="B3632" s="137"/>
    </row>
    <row r="3633" spans="1:2" ht="15" customHeight="1" x14ac:dyDescent="0.2">
      <c r="A3633" s="18"/>
      <c r="B3633" s="137"/>
    </row>
    <row r="3634" spans="1:2" ht="15" customHeight="1" x14ac:dyDescent="0.2">
      <c r="A3634" s="18"/>
      <c r="B3634" s="137"/>
    </row>
    <row r="3635" spans="1:2" ht="15" customHeight="1" x14ac:dyDescent="0.2">
      <c r="A3635" s="18"/>
      <c r="B3635" s="137"/>
    </row>
    <row r="3636" spans="1:2" ht="15" customHeight="1" x14ac:dyDescent="0.2">
      <c r="A3636" s="18"/>
      <c r="B3636" s="137"/>
    </row>
    <row r="3637" spans="1:2" ht="15" customHeight="1" x14ac:dyDescent="0.2">
      <c r="A3637" s="18"/>
      <c r="B3637" s="137"/>
    </row>
    <row r="3638" spans="1:2" ht="15" customHeight="1" x14ac:dyDescent="0.2">
      <c r="A3638" s="18"/>
      <c r="B3638" s="137"/>
    </row>
    <row r="3639" spans="1:2" ht="15" customHeight="1" x14ac:dyDescent="0.2">
      <c r="A3639" s="18"/>
      <c r="B3639" s="137"/>
    </row>
    <row r="3640" spans="1:2" ht="15" customHeight="1" x14ac:dyDescent="0.2">
      <c r="A3640" s="18"/>
      <c r="B3640" s="137"/>
    </row>
    <row r="3641" spans="1:2" ht="15" customHeight="1" x14ac:dyDescent="0.2">
      <c r="A3641" s="18"/>
      <c r="B3641" s="137"/>
    </row>
    <row r="3642" spans="1:2" ht="15" customHeight="1" x14ac:dyDescent="0.2">
      <c r="A3642" s="18"/>
      <c r="B3642" s="137"/>
    </row>
    <row r="3643" spans="1:2" ht="15" customHeight="1" x14ac:dyDescent="0.2">
      <c r="A3643" s="18"/>
      <c r="B3643" s="137"/>
    </row>
    <row r="3644" spans="1:2" ht="15" customHeight="1" x14ac:dyDescent="0.2">
      <c r="A3644" s="18"/>
      <c r="B3644" s="137"/>
    </row>
    <row r="3645" spans="1:2" ht="15" customHeight="1" x14ac:dyDescent="0.2">
      <c r="A3645" s="18"/>
      <c r="B3645" s="137"/>
    </row>
    <row r="3646" spans="1:2" ht="15" customHeight="1" x14ac:dyDescent="0.2">
      <c r="A3646" s="18"/>
      <c r="B3646" s="137"/>
    </row>
    <row r="3647" spans="1:2" ht="15" customHeight="1" x14ac:dyDescent="0.2">
      <c r="A3647" s="18"/>
      <c r="B3647" s="137"/>
    </row>
    <row r="3648" spans="1:2" ht="15" customHeight="1" x14ac:dyDescent="0.2">
      <c r="A3648" s="18"/>
      <c r="B3648" s="137"/>
    </row>
    <row r="3649" spans="1:2" ht="15" customHeight="1" x14ac:dyDescent="0.2">
      <c r="A3649" s="18"/>
      <c r="B3649" s="137"/>
    </row>
    <row r="3650" spans="1:2" ht="15" customHeight="1" x14ac:dyDescent="0.2">
      <c r="A3650" s="18"/>
      <c r="B3650" s="137"/>
    </row>
    <row r="3651" spans="1:2" ht="15" customHeight="1" x14ac:dyDescent="0.2">
      <c r="A3651" s="18"/>
      <c r="B3651" s="137"/>
    </row>
    <row r="3652" spans="1:2" ht="15" customHeight="1" x14ac:dyDescent="0.2">
      <c r="A3652" s="18"/>
      <c r="B3652" s="137"/>
    </row>
    <row r="3653" spans="1:2" ht="15" customHeight="1" x14ac:dyDescent="0.2">
      <c r="A3653" s="18"/>
      <c r="B3653" s="137"/>
    </row>
    <row r="3654" spans="1:2" ht="15" customHeight="1" x14ac:dyDescent="0.2">
      <c r="A3654" s="18"/>
      <c r="B3654" s="137"/>
    </row>
    <row r="3655" spans="1:2" ht="15" customHeight="1" x14ac:dyDescent="0.2">
      <c r="A3655" s="18"/>
      <c r="B3655" s="137"/>
    </row>
    <row r="3656" spans="1:2" ht="15" customHeight="1" x14ac:dyDescent="0.2">
      <c r="A3656" s="18"/>
      <c r="B3656" s="137"/>
    </row>
    <row r="3657" spans="1:2" ht="15" customHeight="1" x14ac:dyDescent="0.2">
      <c r="A3657" s="18"/>
      <c r="B3657" s="137"/>
    </row>
    <row r="3658" spans="1:2" ht="15" customHeight="1" x14ac:dyDescent="0.2">
      <c r="A3658" s="18"/>
      <c r="B3658" s="137"/>
    </row>
    <row r="3659" spans="1:2" ht="15" customHeight="1" x14ac:dyDescent="0.2">
      <c r="A3659" s="18"/>
      <c r="B3659" s="137"/>
    </row>
    <row r="3660" spans="1:2" ht="15" customHeight="1" x14ac:dyDescent="0.2">
      <c r="A3660" s="18"/>
      <c r="B3660" s="137"/>
    </row>
    <row r="3661" spans="1:2" ht="15" customHeight="1" x14ac:dyDescent="0.2">
      <c r="A3661" s="18"/>
      <c r="B3661" s="137"/>
    </row>
    <row r="3662" spans="1:2" ht="15" customHeight="1" x14ac:dyDescent="0.2">
      <c r="A3662" s="18"/>
      <c r="B3662" s="137"/>
    </row>
    <row r="3663" spans="1:2" ht="15" customHeight="1" x14ac:dyDescent="0.2">
      <c r="A3663" s="18"/>
      <c r="B3663" s="137"/>
    </row>
    <row r="3664" spans="1:2" ht="15" customHeight="1" x14ac:dyDescent="0.2">
      <c r="A3664" s="18"/>
      <c r="B3664" s="137"/>
    </row>
    <row r="3665" spans="1:2" ht="15" customHeight="1" x14ac:dyDescent="0.2">
      <c r="A3665" s="18"/>
      <c r="B3665" s="137"/>
    </row>
    <row r="3666" spans="1:2" ht="15" customHeight="1" x14ac:dyDescent="0.2">
      <c r="A3666" s="18"/>
      <c r="B3666" s="137"/>
    </row>
    <row r="3667" spans="1:2" ht="15" customHeight="1" x14ac:dyDescent="0.2">
      <c r="A3667" s="18"/>
      <c r="B3667" s="137"/>
    </row>
    <row r="3668" spans="1:2" ht="15" customHeight="1" x14ac:dyDescent="0.2">
      <c r="A3668" s="18"/>
      <c r="B3668" s="137"/>
    </row>
    <row r="3669" spans="1:2" ht="15" customHeight="1" x14ac:dyDescent="0.2">
      <c r="A3669" s="18"/>
      <c r="B3669" s="137"/>
    </row>
    <row r="3670" spans="1:2" ht="15" customHeight="1" x14ac:dyDescent="0.2">
      <c r="A3670" s="18"/>
      <c r="B3670" s="137"/>
    </row>
    <row r="3671" spans="1:2" ht="15" customHeight="1" x14ac:dyDescent="0.2">
      <c r="A3671" s="18"/>
      <c r="B3671" s="137"/>
    </row>
    <row r="3672" spans="1:2" ht="15" customHeight="1" x14ac:dyDescent="0.2">
      <c r="A3672" s="18"/>
      <c r="B3672" s="137"/>
    </row>
    <row r="3673" spans="1:2" ht="15" customHeight="1" x14ac:dyDescent="0.2">
      <c r="A3673" s="18"/>
      <c r="B3673" s="137"/>
    </row>
    <row r="3674" spans="1:2" ht="15" customHeight="1" x14ac:dyDescent="0.2">
      <c r="A3674" s="18"/>
      <c r="B3674" s="137"/>
    </row>
    <row r="3675" spans="1:2" ht="15" customHeight="1" x14ac:dyDescent="0.2">
      <c r="A3675" s="18"/>
      <c r="B3675" s="137"/>
    </row>
    <row r="3676" spans="1:2" ht="15" customHeight="1" x14ac:dyDescent="0.2">
      <c r="A3676" s="18"/>
      <c r="B3676" s="137"/>
    </row>
    <row r="3677" spans="1:2" ht="15" customHeight="1" x14ac:dyDescent="0.2">
      <c r="A3677" s="18"/>
      <c r="B3677" s="137"/>
    </row>
    <row r="3678" spans="1:2" ht="15" customHeight="1" x14ac:dyDescent="0.2">
      <c r="A3678" s="18"/>
      <c r="B3678" s="137"/>
    </row>
    <row r="3679" spans="1:2" ht="15" customHeight="1" x14ac:dyDescent="0.2">
      <c r="A3679" s="18"/>
      <c r="B3679" s="137"/>
    </row>
    <row r="3680" spans="1:2" ht="15" customHeight="1" x14ac:dyDescent="0.2">
      <c r="A3680" s="18"/>
      <c r="B3680" s="137"/>
    </row>
    <row r="3681" spans="1:2" ht="15" customHeight="1" x14ac:dyDescent="0.2">
      <c r="A3681" s="18"/>
      <c r="B3681" s="137"/>
    </row>
    <row r="3682" spans="1:2" ht="15" customHeight="1" x14ac:dyDescent="0.2">
      <c r="A3682" s="18"/>
      <c r="B3682" s="137"/>
    </row>
    <row r="3683" spans="1:2" ht="15" customHeight="1" x14ac:dyDescent="0.2">
      <c r="A3683" s="18"/>
      <c r="B3683" s="137"/>
    </row>
    <row r="3684" spans="1:2" ht="15" customHeight="1" x14ac:dyDescent="0.2">
      <c r="A3684" s="18"/>
      <c r="B3684" s="137"/>
    </row>
    <row r="3685" spans="1:2" ht="15" customHeight="1" x14ac:dyDescent="0.2">
      <c r="A3685" s="18"/>
      <c r="B3685" s="137"/>
    </row>
    <row r="3686" spans="1:2" ht="15" customHeight="1" x14ac:dyDescent="0.2">
      <c r="A3686" s="18"/>
      <c r="B3686" s="137"/>
    </row>
    <row r="3687" spans="1:2" ht="15" customHeight="1" x14ac:dyDescent="0.2">
      <c r="A3687" s="18"/>
      <c r="B3687" s="137"/>
    </row>
    <row r="3688" spans="1:2" ht="15" customHeight="1" x14ac:dyDescent="0.2">
      <c r="A3688" s="18"/>
      <c r="B3688" s="137"/>
    </row>
    <row r="3689" spans="1:2" ht="15" customHeight="1" x14ac:dyDescent="0.2">
      <c r="A3689" s="18"/>
      <c r="B3689" s="137"/>
    </row>
    <row r="3690" spans="1:2" ht="15" customHeight="1" x14ac:dyDescent="0.2">
      <c r="A3690" s="18"/>
      <c r="B3690" s="137"/>
    </row>
    <row r="3691" spans="1:2" ht="15" customHeight="1" x14ac:dyDescent="0.2">
      <c r="A3691" s="18"/>
      <c r="B3691" s="137"/>
    </row>
    <row r="3692" spans="1:2" ht="15" customHeight="1" x14ac:dyDescent="0.2">
      <c r="A3692" s="18"/>
      <c r="B3692" s="137"/>
    </row>
    <row r="3693" spans="1:2" ht="15" customHeight="1" x14ac:dyDescent="0.2">
      <c r="A3693" s="18"/>
      <c r="B3693" s="137"/>
    </row>
    <row r="3694" spans="1:2" ht="15" customHeight="1" x14ac:dyDescent="0.2">
      <c r="A3694" s="18"/>
      <c r="B3694" s="137"/>
    </row>
    <row r="3695" spans="1:2" ht="15" customHeight="1" x14ac:dyDescent="0.2">
      <c r="A3695" s="18"/>
      <c r="B3695" s="137"/>
    </row>
    <row r="3696" spans="1:2" ht="15" customHeight="1" x14ac:dyDescent="0.2">
      <c r="A3696" s="18"/>
      <c r="B3696" s="137"/>
    </row>
    <row r="3697" spans="1:2" ht="15" customHeight="1" x14ac:dyDescent="0.2">
      <c r="A3697" s="18"/>
      <c r="B3697" s="137"/>
    </row>
    <row r="3698" spans="1:2" ht="15" customHeight="1" x14ac:dyDescent="0.2">
      <c r="B3698" s="137"/>
    </row>
    <row r="3699" spans="1:2" ht="15" customHeight="1" x14ac:dyDescent="0.2">
      <c r="B3699" s="137"/>
    </row>
    <row r="3700" spans="1:2" ht="15" customHeight="1" x14ac:dyDescent="0.2">
      <c r="B3700" s="137"/>
    </row>
    <row r="3701" spans="1:2" ht="15" customHeight="1" x14ac:dyDescent="0.2">
      <c r="B3701" s="137"/>
    </row>
    <row r="3702" spans="1:2" ht="15" customHeight="1" x14ac:dyDescent="0.2">
      <c r="B3702" s="137"/>
    </row>
    <row r="3703" spans="1:2" ht="15" customHeight="1" x14ac:dyDescent="0.2">
      <c r="B3703" s="137"/>
    </row>
    <row r="3704" spans="1:2" ht="15" customHeight="1" x14ac:dyDescent="0.2">
      <c r="B3704" s="137"/>
    </row>
    <row r="3705" spans="1:2" ht="15" customHeight="1" x14ac:dyDescent="0.2">
      <c r="B3705" s="137"/>
    </row>
    <row r="3706" spans="1:2" ht="15" customHeight="1" x14ac:dyDescent="0.2">
      <c r="B3706" s="137"/>
    </row>
    <row r="3707" spans="1:2" ht="15" customHeight="1" x14ac:dyDescent="0.2">
      <c r="B3707" s="137"/>
    </row>
    <row r="3708" spans="1:2" ht="15" customHeight="1" x14ac:dyDescent="0.2">
      <c r="B3708" s="137"/>
    </row>
  </sheetData>
  <mergeCells count="137">
    <mergeCell ref="B715:K715"/>
    <mergeCell ref="B670:K670"/>
    <mergeCell ref="B303:K303"/>
    <mergeCell ref="B272:C272"/>
    <mergeCell ref="B62:C62"/>
    <mergeCell ref="B69:C69"/>
    <mergeCell ref="B76:C76"/>
    <mergeCell ref="B287:D287"/>
    <mergeCell ref="B251:D251"/>
    <mergeCell ref="B97:D97"/>
    <mergeCell ref="B112:C112"/>
    <mergeCell ref="B116:C116"/>
    <mergeCell ref="B122:C122"/>
    <mergeCell ref="B138:D138"/>
    <mergeCell ref="B145:C145"/>
    <mergeCell ref="B154:C154"/>
    <mergeCell ref="B163:C163"/>
    <mergeCell ref="B187:C187"/>
    <mergeCell ref="B199:D199"/>
    <mergeCell ref="B207:C207"/>
    <mergeCell ref="B223:C223"/>
    <mergeCell ref="B227:C227"/>
    <mergeCell ref="B241:C241"/>
    <mergeCell ref="B541:K541"/>
    <mergeCell ref="B554:K554"/>
    <mergeCell ref="B650:K650"/>
    <mergeCell ref="B622:K622"/>
    <mergeCell ref="B631:K631"/>
    <mergeCell ref="B593:K593"/>
    <mergeCell ref="B602:K602"/>
    <mergeCell ref="B646:K646"/>
    <mergeCell ref="B711:K711"/>
    <mergeCell ref="B571:K571"/>
    <mergeCell ref="B575:K575"/>
    <mergeCell ref="B579:D579"/>
    <mergeCell ref="B583:D583"/>
    <mergeCell ref="B587:D587"/>
    <mergeCell ref="B566:C566"/>
    <mergeCell ref="B702:K702"/>
    <mergeCell ref="A1:L1"/>
    <mergeCell ref="A3:B3"/>
    <mergeCell ref="G3:L3"/>
    <mergeCell ref="A4:B5"/>
    <mergeCell ref="A6:A7"/>
    <mergeCell ref="B6:B7"/>
    <mergeCell ref="C6:C7"/>
    <mergeCell ref="D6:D7"/>
    <mergeCell ref="A2:B2"/>
    <mergeCell ref="E6:E7"/>
    <mergeCell ref="L6:L7"/>
    <mergeCell ref="I6:I7"/>
    <mergeCell ref="J6:J7"/>
    <mergeCell ref="F6:F7"/>
    <mergeCell ref="G6:G7"/>
    <mergeCell ref="H6:H7"/>
    <mergeCell ref="K6:K7"/>
    <mergeCell ref="B9:K9"/>
    <mergeCell ref="B13:E13"/>
    <mergeCell ref="B821:K821"/>
    <mergeCell ref="B808:K808"/>
    <mergeCell ref="B732:K732"/>
    <mergeCell ref="B558:K558"/>
    <mergeCell ref="B549:K549"/>
    <mergeCell ref="B529:K529"/>
    <mergeCell ref="B745:K745"/>
    <mergeCell ref="B799:K799"/>
    <mergeCell ref="B606:K606"/>
    <mergeCell ref="B626:K626"/>
    <mergeCell ref="B795:K795"/>
    <mergeCell ref="B684:K684"/>
    <mergeCell ref="B689:K689"/>
    <mergeCell ref="B694:K694"/>
    <mergeCell ref="B698:K698"/>
    <mergeCell ref="B618:K618"/>
    <mergeCell ref="B637:K637"/>
    <mergeCell ref="B642:K642"/>
    <mergeCell ref="B313:K313"/>
    <mergeCell ref="B317:K317"/>
    <mergeCell ref="B299:D299"/>
    <mergeCell ref="B471:K471"/>
    <mergeCell ref="B309:K309"/>
    <mergeCell ref="B321:K321"/>
    <mergeCell ref="B57:C57"/>
    <mergeCell ref="B17:K17"/>
    <mergeCell ref="B21:K21"/>
    <mergeCell ref="B25:K25"/>
    <mergeCell ref="B36:K36"/>
    <mergeCell ref="B46:K46"/>
    <mergeCell ref="B172:D172"/>
    <mergeCell ref="B31:K31"/>
    <mergeCell ref="B385:K385"/>
    <mergeCell ref="B420:K420"/>
    <mergeCell ref="B434:K434"/>
    <mergeCell ref="B425:K425"/>
    <mergeCell ref="B326:K326"/>
    <mergeCell ref="B410:K410"/>
    <mergeCell ref="B345:K345"/>
    <mergeCell ref="B378:K378"/>
    <mergeCell ref="B364:K364"/>
    <mergeCell ref="B370:K370"/>
    <mergeCell ref="B391:K391"/>
    <mergeCell ref="B492:K492"/>
    <mergeCell ref="B497:K497"/>
    <mergeCell ref="B459:K459"/>
    <mergeCell ref="B461:K461"/>
    <mergeCell ref="B430:D430"/>
    <mergeCell ref="B441:D441"/>
    <mergeCell ref="B445:D445"/>
    <mergeCell ref="B455:C455"/>
    <mergeCell ref="B481:K481"/>
    <mergeCell ref="B449:K449"/>
    <mergeCell ref="B440:K440"/>
    <mergeCell ref="B466:K466"/>
    <mergeCell ref="B753:K753"/>
    <mergeCell ref="B476:K476"/>
    <mergeCell ref="B707:K707"/>
    <mergeCell ref="B525:K525"/>
    <mergeCell ref="B825:K825"/>
    <mergeCell ref="B545:K545"/>
    <mergeCell ref="B816:K816"/>
    <mergeCell ref="B736:K736"/>
    <mergeCell ref="B741:K741"/>
    <mergeCell ref="B501:K501"/>
    <mergeCell ref="B507:K507"/>
    <mergeCell ref="B724:K724"/>
    <mergeCell ref="B728:K728"/>
    <mergeCell ref="B610:K610"/>
    <mergeCell ref="B655:K655"/>
    <mergeCell ref="B749:K749"/>
    <mergeCell ref="B757:K757"/>
    <mergeCell ref="B679:K679"/>
    <mergeCell ref="B562:K562"/>
    <mergeCell ref="B512:K512"/>
    <mergeCell ref="B720:K720"/>
    <mergeCell ref="B664:K664"/>
    <mergeCell ref="B533:K533"/>
    <mergeCell ref="B537:K537"/>
  </mergeCells>
  <phoneticPr fontId="45" type="noConversion"/>
  <printOptions horizontalCentered="1" gridLines="1"/>
  <pageMargins left="0.39370078740157483" right="0.39370078740157483" top="0.78740157480314965" bottom="0.39370078740157483" header="0" footer="0"/>
  <pageSetup paperSize="9" scale="60" fitToWidth="0" fitToHeight="0" orientation="landscape" r:id="rId1"/>
  <headerFooter alignWithMargins="0">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view="pageBreakPreview" zoomScaleNormal="80" zoomScaleSheetLayoutView="100" zoomScalePageLayoutView="60" workbookViewId="0">
      <selection activeCell="H4" sqref="H4"/>
    </sheetView>
  </sheetViews>
  <sheetFormatPr defaultColWidth="10.7109375" defaultRowHeight="15" customHeight="1" x14ac:dyDescent="0.2"/>
  <cols>
    <col min="1" max="1" width="10.7109375" style="50" customWidth="1"/>
    <col min="2" max="2" width="35.7109375" style="50" customWidth="1"/>
    <col min="3" max="3" width="20.7109375" style="50" customWidth="1"/>
    <col min="4" max="4" width="19.5703125" style="50" bestFit="1" customWidth="1"/>
    <col min="5" max="10" width="12.7109375" style="50" customWidth="1"/>
    <col min="11" max="12" width="11.7109375" style="50" bestFit="1" customWidth="1"/>
    <col min="13" max="16384" width="10.7109375" style="50"/>
  </cols>
  <sheetData>
    <row r="1" spans="1:10" ht="15" customHeight="1" x14ac:dyDescent="0.2">
      <c r="A1" s="608" t="s">
        <v>10</v>
      </c>
      <c r="B1" s="609"/>
      <c r="C1" s="609"/>
      <c r="D1" s="609"/>
      <c r="E1" s="609"/>
      <c r="F1" s="609"/>
      <c r="G1" s="609"/>
      <c r="H1" s="609"/>
      <c r="I1" s="609"/>
      <c r="J1" s="610"/>
    </row>
    <row r="2" spans="1:10" ht="15" customHeight="1" x14ac:dyDescent="0.2">
      <c r="A2" s="611" t="s">
        <v>807</v>
      </c>
      <c r="B2" s="612"/>
      <c r="C2" s="612"/>
      <c r="D2" s="612"/>
      <c r="E2" s="612"/>
      <c r="F2" s="612"/>
      <c r="G2" s="612"/>
      <c r="H2" s="612"/>
      <c r="I2" s="51"/>
      <c r="J2" s="473"/>
    </row>
    <row r="3" spans="1:10" ht="15" customHeight="1" x14ac:dyDescent="0.2">
      <c r="A3" s="611" t="s">
        <v>860</v>
      </c>
      <c r="B3" s="612"/>
      <c r="C3" s="612"/>
      <c r="D3" s="612"/>
      <c r="E3" s="52"/>
      <c r="F3" s="53"/>
      <c r="G3" s="54"/>
      <c r="H3" s="613" t="s">
        <v>876</v>
      </c>
      <c r="I3" s="613"/>
      <c r="J3" s="614"/>
    </row>
    <row r="4" spans="1:10" s="44" customFormat="1" ht="32.25" customHeight="1" x14ac:dyDescent="0.2">
      <c r="A4" s="615" t="s">
        <v>42</v>
      </c>
      <c r="B4" s="616"/>
      <c r="C4" s="616"/>
      <c r="D4" s="616"/>
      <c r="E4" s="55"/>
      <c r="F4" s="55"/>
      <c r="G4" s="55"/>
      <c r="H4" s="55"/>
      <c r="I4" s="55"/>
      <c r="J4" s="474"/>
    </row>
    <row r="5" spans="1:10" ht="24.95" customHeight="1" x14ac:dyDescent="0.2">
      <c r="A5" s="606" t="s">
        <v>0</v>
      </c>
      <c r="B5" s="606" t="s">
        <v>11</v>
      </c>
      <c r="C5" s="606"/>
      <c r="D5" s="607" t="s">
        <v>28</v>
      </c>
      <c r="E5" s="606" t="s">
        <v>844</v>
      </c>
      <c r="F5" s="606"/>
      <c r="G5" s="606"/>
      <c r="H5" s="606"/>
      <c r="I5" s="606"/>
      <c r="J5" s="606"/>
    </row>
    <row r="6" spans="1:10" ht="24.95" customHeight="1" x14ac:dyDescent="0.2">
      <c r="A6" s="606"/>
      <c r="B6" s="606"/>
      <c r="C6" s="606"/>
      <c r="D6" s="607"/>
      <c r="E6" s="13">
        <v>1</v>
      </c>
      <c r="F6" s="13">
        <v>2</v>
      </c>
      <c r="G6" s="13">
        <v>3</v>
      </c>
      <c r="H6" s="13">
        <v>4</v>
      </c>
      <c r="I6" s="13">
        <v>5</v>
      </c>
      <c r="J6" s="13">
        <v>6</v>
      </c>
    </row>
    <row r="7" spans="1:10" ht="24.95" customHeight="1" x14ac:dyDescent="0.2">
      <c r="A7" s="603" t="s">
        <v>26</v>
      </c>
      <c r="B7" s="599" t="str">
        <f>'Planilha Orçamentária'!D8</f>
        <v>SERVIÇOS PRELIMINARES</v>
      </c>
      <c r="C7" s="56" t="s">
        <v>12</v>
      </c>
      <c r="D7" s="601">
        <f>'Planilha Orçamentária'!H14</f>
        <v>7109.57</v>
      </c>
      <c r="E7" s="57">
        <v>1</v>
      </c>
      <c r="F7" s="57"/>
      <c r="G7" s="57"/>
      <c r="H7" s="57"/>
      <c r="I7" s="57"/>
      <c r="J7" s="57"/>
    </row>
    <row r="8" spans="1:10" ht="24.95" customHeight="1" x14ac:dyDescent="0.2">
      <c r="A8" s="598"/>
      <c r="B8" s="600"/>
      <c r="C8" s="58" t="s">
        <v>13</v>
      </c>
      <c r="D8" s="602"/>
      <c r="E8" s="14">
        <f>D7*E7</f>
        <v>7109.57</v>
      </c>
      <c r="F8" s="14">
        <v>0</v>
      </c>
      <c r="G8" s="14">
        <v>0</v>
      </c>
      <c r="H8" s="14">
        <v>0</v>
      </c>
      <c r="I8" s="14"/>
      <c r="J8" s="14"/>
    </row>
    <row r="9" spans="1:10" ht="24.95" customHeight="1" x14ac:dyDescent="0.2">
      <c r="A9" s="603" t="s">
        <v>25</v>
      </c>
      <c r="B9" s="599" t="str">
        <f>'Planilha Orçamentária'!D16</f>
        <v>INFRAESTRUTURA E SUPERESTRUTURA</v>
      </c>
      <c r="C9" s="56" t="s">
        <v>12</v>
      </c>
      <c r="D9" s="601">
        <f>'Planilha Orçamentária'!H59</f>
        <v>66367.970000000016</v>
      </c>
      <c r="E9" s="57">
        <v>0.5</v>
      </c>
      <c r="F9" s="57">
        <v>0.25</v>
      </c>
      <c r="G9" s="57">
        <v>0.25</v>
      </c>
      <c r="H9" s="57"/>
      <c r="I9" s="57"/>
      <c r="J9" s="57"/>
    </row>
    <row r="10" spans="1:10" ht="24.95" customHeight="1" x14ac:dyDescent="0.2">
      <c r="A10" s="598"/>
      <c r="B10" s="600"/>
      <c r="C10" s="58" t="s">
        <v>13</v>
      </c>
      <c r="D10" s="602"/>
      <c r="E10" s="14">
        <f>E9*D9</f>
        <v>33183.985000000008</v>
      </c>
      <c r="F10" s="14">
        <f>F9*D9</f>
        <v>16591.992500000004</v>
      </c>
      <c r="G10" s="14">
        <f>G9*D9</f>
        <v>16591.992500000004</v>
      </c>
      <c r="H10" s="14"/>
      <c r="I10" s="14"/>
      <c r="J10" s="14"/>
    </row>
    <row r="11" spans="1:10" ht="24.95" customHeight="1" x14ac:dyDescent="0.2">
      <c r="A11" s="597" t="s">
        <v>24</v>
      </c>
      <c r="B11" s="599" t="str">
        <f>'Planilha Orçamentária'!D61</f>
        <v>PAREDES E DIVISÓRIAS</v>
      </c>
      <c r="C11" s="56" t="s">
        <v>12</v>
      </c>
      <c r="D11" s="601">
        <f>'Planilha Orçamentária'!H69</f>
        <v>27653.84</v>
      </c>
      <c r="E11" s="57"/>
      <c r="F11" s="57">
        <v>0.5</v>
      </c>
      <c r="G11" s="57">
        <v>0.5</v>
      </c>
      <c r="H11" s="57"/>
      <c r="I11" s="57"/>
      <c r="J11" s="57"/>
    </row>
    <row r="12" spans="1:10" ht="24.95" customHeight="1" x14ac:dyDescent="0.2">
      <c r="A12" s="598"/>
      <c r="B12" s="600"/>
      <c r="C12" s="58" t="s">
        <v>13</v>
      </c>
      <c r="D12" s="602"/>
      <c r="E12" s="14">
        <v>0</v>
      </c>
      <c r="F12" s="14">
        <f>F11*D11</f>
        <v>13826.92</v>
      </c>
      <c r="G12" s="14">
        <f>G11*D11</f>
        <v>13826.92</v>
      </c>
      <c r="H12" s="14"/>
      <c r="I12" s="14"/>
      <c r="J12" s="14"/>
    </row>
    <row r="13" spans="1:10" ht="24.95" customHeight="1" x14ac:dyDescent="0.2">
      <c r="A13" s="603" t="s">
        <v>23</v>
      </c>
      <c r="B13" s="604" t="str">
        <f>'Planilha Orçamentária'!D71</f>
        <v>REVESTIMENTO DE PAREDES</v>
      </c>
      <c r="C13" s="56" t="s">
        <v>12</v>
      </c>
      <c r="D13" s="623">
        <f>'Planilha Orçamentária'!H76</f>
        <v>30509.82</v>
      </c>
      <c r="E13" s="403"/>
      <c r="F13" s="403"/>
      <c r="G13" s="404"/>
      <c r="H13" s="404"/>
      <c r="I13" s="57">
        <v>0.5</v>
      </c>
      <c r="J13" s="57">
        <v>0.5</v>
      </c>
    </row>
    <row r="14" spans="1:10" ht="24.95" customHeight="1" x14ac:dyDescent="0.2">
      <c r="A14" s="598"/>
      <c r="B14" s="605"/>
      <c r="C14" s="58" t="s">
        <v>13</v>
      </c>
      <c r="D14" s="624"/>
      <c r="E14" s="138"/>
      <c r="F14" s="138"/>
      <c r="G14" s="138"/>
      <c r="H14" s="138"/>
      <c r="I14" s="138">
        <f>I13*D13</f>
        <v>15254.91</v>
      </c>
      <c r="J14" s="138">
        <f>J13*D13</f>
        <v>15254.91</v>
      </c>
    </row>
    <row r="15" spans="1:10" ht="24.95" customHeight="1" x14ac:dyDescent="0.2">
      <c r="A15" s="603" t="s">
        <v>87</v>
      </c>
      <c r="B15" s="599" t="str">
        <f>'Planilha Orçamentária'!D78</f>
        <v>REVESTIMENTO DE PISOS</v>
      </c>
      <c r="C15" s="56" t="s">
        <v>12</v>
      </c>
      <c r="D15" s="601">
        <f>'Planilha Orçamentária'!H83</f>
        <v>6753.8500000000013</v>
      </c>
      <c r="E15" s="57"/>
      <c r="F15" s="57"/>
      <c r="G15" s="57"/>
      <c r="H15" s="57"/>
      <c r="I15" s="57">
        <v>1</v>
      </c>
      <c r="J15" s="57"/>
    </row>
    <row r="16" spans="1:10" ht="24.95" customHeight="1" x14ac:dyDescent="0.2">
      <c r="A16" s="598"/>
      <c r="B16" s="600"/>
      <c r="C16" s="58" t="s">
        <v>13</v>
      </c>
      <c r="D16" s="602"/>
      <c r="E16" s="14">
        <v>0</v>
      </c>
      <c r="F16" s="14">
        <v>0</v>
      </c>
      <c r="G16" s="14"/>
      <c r="H16" s="14"/>
      <c r="I16" s="14">
        <f>I15*D15</f>
        <v>6753.8500000000013</v>
      </c>
      <c r="J16" s="14"/>
    </row>
    <row r="17" spans="1:10" ht="24.95" customHeight="1" x14ac:dyDescent="0.2">
      <c r="A17" s="617" t="s">
        <v>105</v>
      </c>
      <c r="B17" s="604" t="str">
        <f>'Planilha Orçamentária'!D85</f>
        <v>REVESTIMENTO DE TETOS</v>
      </c>
      <c r="C17" s="56" t="s">
        <v>12</v>
      </c>
      <c r="D17" s="621">
        <f>'Planilha Orçamentária'!H87</f>
        <v>1281.6199999999999</v>
      </c>
      <c r="E17" s="57"/>
      <c r="F17" s="57"/>
      <c r="G17" s="57"/>
      <c r="H17" s="57"/>
      <c r="I17" s="57">
        <v>1</v>
      </c>
      <c r="J17" s="57"/>
    </row>
    <row r="18" spans="1:10" ht="24.95" customHeight="1" x14ac:dyDescent="0.2">
      <c r="A18" s="618"/>
      <c r="B18" s="605"/>
      <c r="C18" s="58" t="s">
        <v>13</v>
      </c>
      <c r="D18" s="622"/>
      <c r="E18" s="382"/>
      <c r="F18" s="382"/>
      <c r="G18" s="382"/>
      <c r="H18" s="382"/>
      <c r="I18" s="382">
        <f>I17*D17</f>
        <v>1281.6199999999999</v>
      </c>
      <c r="J18" s="382"/>
    </row>
    <row r="19" spans="1:10" ht="24.95" customHeight="1" x14ac:dyDescent="0.2">
      <c r="A19" s="617" t="s">
        <v>108</v>
      </c>
      <c r="B19" s="604" t="str">
        <f>'Planilha Orçamentária'!D89</f>
        <v>ESQUADRIAS</v>
      </c>
      <c r="C19" s="56" t="s">
        <v>12</v>
      </c>
      <c r="D19" s="621">
        <f>'Planilha Orçamentária'!H96</f>
        <v>12494.710000000003</v>
      </c>
      <c r="E19" s="57"/>
      <c r="F19" s="57"/>
      <c r="G19" s="57"/>
      <c r="H19" s="57">
        <v>1</v>
      </c>
      <c r="I19" s="57"/>
      <c r="J19" s="57"/>
    </row>
    <row r="20" spans="1:10" ht="24.95" customHeight="1" x14ac:dyDescent="0.2">
      <c r="A20" s="618"/>
      <c r="B20" s="605"/>
      <c r="C20" s="58" t="s">
        <v>13</v>
      </c>
      <c r="D20" s="622"/>
      <c r="E20" s="382"/>
      <c r="F20" s="382"/>
      <c r="G20" s="382"/>
      <c r="H20" s="382">
        <f>H19*D19</f>
        <v>12494.710000000003</v>
      </c>
      <c r="I20" s="382"/>
      <c r="J20" s="382"/>
    </row>
    <row r="21" spans="1:10" ht="24.95" customHeight="1" x14ac:dyDescent="0.2">
      <c r="A21" s="617" t="s">
        <v>109</v>
      </c>
      <c r="B21" s="604" t="str">
        <f>'Planilha Orçamentária'!D98</f>
        <v>COBERTURA</v>
      </c>
      <c r="C21" s="56" t="s">
        <v>12</v>
      </c>
      <c r="D21" s="621">
        <f>'Planilha Orçamentária'!H103</f>
        <v>60396.329999999994</v>
      </c>
      <c r="E21" s="57"/>
      <c r="F21" s="57"/>
      <c r="G21" s="57"/>
      <c r="H21" s="57">
        <v>0.5</v>
      </c>
      <c r="I21" s="57">
        <v>0.5</v>
      </c>
      <c r="J21" s="57"/>
    </row>
    <row r="22" spans="1:10" ht="24.95" customHeight="1" x14ac:dyDescent="0.2">
      <c r="A22" s="618"/>
      <c r="B22" s="605"/>
      <c r="C22" s="58" t="s">
        <v>13</v>
      </c>
      <c r="D22" s="622"/>
      <c r="E22" s="382"/>
      <c r="F22" s="382"/>
      <c r="G22" s="382"/>
      <c r="H22" s="382">
        <f>D21*H21</f>
        <v>30198.164999999997</v>
      </c>
      <c r="I22" s="382">
        <f>I21*D21</f>
        <v>30198.164999999997</v>
      </c>
      <c r="J22" s="382"/>
    </row>
    <row r="23" spans="1:10" ht="24.95" customHeight="1" x14ac:dyDescent="0.2">
      <c r="A23" s="617" t="s">
        <v>802</v>
      </c>
      <c r="B23" s="604" t="str">
        <f>'Planilha Orçamentária'!D105</f>
        <v>INSTALAÇÕES HIDROSSANITÁRIAS</v>
      </c>
      <c r="C23" s="56" t="s">
        <v>12</v>
      </c>
      <c r="D23" s="621">
        <f>'Planilha Orçamentária'!H138</f>
        <v>14959.16</v>
      </c>
      <c r="E23" s="57"/>
      <c r="F23" s="57"/>
      <c r="G23" s="57">
        <v>0.5</v>
      </c>
      <c r="H23" s="57">
        <v>0.5</v>
      </c>
      <c r="I23" s="57"/>
      <c r="J23" s="57"/>
    </row>
    <row r="24" spans="1:10" ht="24.95" customHeight="1" x14ac:dyDescent="0.2">
      <c r="A24" s="618"/>
      <c r="B24" s="605"/>
      <c r="C24" s="58" t="s">
        <v>13</v>
      </c>
      <c r="D24" s="622"/>
      <c r="E24" s="382"/>
      <c r="F24" s="382"/>
      <c r="G24" s="382">
        <f>G23*D23</f>
        <v>7479.58</v>
      </c>
      <c r="H24" s="382">
        <f>H23*D23</f>
        <v>7479.58</v>
      </c>
      <c r="I24" s="382"/>
      <c r="J24" s="382"/>
    </row>
    <row r="25" spans="1:10" ht="24.95" customHeight="1" x14ac:dyDescent="0.2">
      <c r="A25" s="617" t="s">
        <v>803</v>
      </c>
      <c r="B25" s="604" t="str">
        <f>'Planilha Orçamentária'!D140</f>
        <v>INSTALAÇÕES ELÉTRICAS</v>
      </c>
      <c r="C25" s="56" t="s">
        <v>12</v>
      </c>
      <c r="D25" s="621">
        <f>'Planilha Orçamentária'!H177</f>
        <v>30700.450000000004</v>
      </c>
      <c r="E25" s="57"/>
      <c r="F25" s="57"/>
      <c r="G25" s="57">
        <v>0.5</v>
      </c>
      <c r="H25" s="57">
        <v>0.5</v>
      </c>
      <c r="I25" s="57"/>
      <c r="J25" s="57"/>
    </row>
    <row r="26" spans="1:10" ht="24.95" customHeight="1" x14ac:dyDescent="0.2">
      <c r="A26" s="618"/>
      <c r="B26" s="605"/>
      <c r="C26" s="58" t="s">
        <v>13</v>
      </c>
      <c r="D26" s="622"/>
      <c r="E26" s="382"/>
      <c r="F26" s="382"/>
      <c r="G26" s="382">
        <f>D25*G25</f>
        <v>15350.225000000002</v>
      </c>
      <c r="H26" s="382">
        <f>H25*D25</f>
        <v>15350.225000000002</v>
      </c>
      <c r="I26" s="382"/>
      <c r="J26" s="382"/>
    </row>
    <row r="27" spans="1:10" ht="24.95" customHeight="1" x14ac:dyDescent="0.2">
      <c r="A27" s="619" t="s">
        <v>804</v>
      </c>
      <c r="B27" s="604" t="str">
        <f>'Planilha Orçamentária'!D179</f>
        <v>PINTURA</v>
      </c>
      <c r="C27" s="56" t="s">
        <v>12</v>
      </c>
      <c r="D27" s="621">
        <f>'Planilha Orçamentária'!H184</f>
        <v>5791.23</v>
      </c>
      <c r="E27" s="57"/>
      <c r="F27" s="57"/>
      <c r="G27" s="57"/>
      <c r="H27" s="57"/>
      <c r="I27" s="57"/>
      <c r="J27" s="57">
        <v>1</v>
      </c>
    </row>
    <row r="28" spans="1:10" ht="24.95" customHeight="1" x14ac:dyDescent="0.2">
      <c r="A28" s="620"/>
      <c r="B28" s="605"/>
      <c r="C28" s="58" t="s">
        <v>13</v>
      </c>
      <c r="D28" s="622"/>
      <c r="E28" s="382"/>
      <c r="F28" s="382"/>
      <c r="G28" s="382"/>
      <c r="H28" s="382"/>
      <c r="I28" s="382"/>
      <c r="J28" s="382">
        <f>J27*D27</f>
        <v>5791.23</v>
      </c>
    </row>
    <row r="29" spans="1:10" ht="24.95" customHeight="1" x14ac:dyDescent="0.2">
      <c r="A29" s="619" t="s">
        <v>805</v>
      </c>
      <c r="B29" s="604" t="str">
        <f>'Planilha Orçamentária'!D186</f>
        <v>SERVIÇOS COMPLEMENTARES</v>
      </c>
      <c r="C29" s="56" t="s">
        <v>12</v>
      </c>
      <c r="D29" s="621">
        <f>'Planilha Orçamentária'!H195</f>
        <v>10556.239999999998</v>
      </c>
      <c r="E29" s="57"/>
      <c r="F29" s="57"/>
      <c r="G29" s="57"/>
      <c r="H29" s="57"/>
      <c r="I29" s="57"/>
      <c r="J29" s="57">
        <v>1</v>
      </c>
    </row>
    <row r="30" spans="1:10" ht="24.95" customHeight="1" x14ac:dyDescent="0.2">
      <c r="A30" s="620"/>
      <c r="B30" s="605"/>
      <c r="C30" s="58" t="s">
        <v>13</v>
      </c>
      <c r="D30" s="622"/>
      <c r="E30" s="382"/>
      <c r="F30" s="382"/>
      <c r="G30" s="382"/>
      <c r="H30" s="382"/>
      <c r="I30" s="382"/>
      <c r="J30" s="382">
        <f>J29*D29</f>
        <v>10556.239999999998</v>
      </c>
    </row>
    <row r="31" spans="1:10" ht="24.95" customHeight="1" x14ac:dyDescent="0.2">
      <c r="A31" s="595" t="s">
        <v>14</v>
      </c>
      <c r="B31" s="595"/>
      <c r="C31" s="595"/>
      <c r="D31" s="596">
        <f>SUM(D7:D30)</f>
        <v>274574.78999999998</v>
      </c>
      <c r="E31" s="383">
        <f>E33/$D$31</f>
        <v>0.14674892403632545</v>
      </c>
      <c r="F31" s="383">
        <f t="shared" ref="F31:J31" si="0">F33/$D$31</f>
        <v>0.11078552586710531</v>
      </c>
      <c r="G31" s="383">
        <f t="shared" si="0"/>
        <v>0.19393156050488108</v>
      </c>
      <c r="H31" s="383">
        <f t="shared" si="0"/>
        <v>0.23863327000996709</v>
      </c>
      <c r="I31" s="383">
        <f t="shared" si="0"/>
        <v>0.19480501104999481</v>
      </c>
      <c r="J31" s="383">
        <f t="shared" si="0"/>
        <v>0.11509570853172646</v>
      </c>
    </row>
    <row r="32" spans="1:10" ht="24.95" customHeight="1" x14ac:dyDescent="0.2">
      <c r="A32" s="595" t="s">
        <v>15</v>
      </c>
      <c r="B32" s="595"/>
      <c r="C32" s="595"/>
      <c r="D32" s="596"/>
      <c r="E32" s="383">
        <f>E31</f>
        <v>0.14674892403632545</v>
      </c>
      <c r="F32" s="383">
        <f>F31+E32</f>
        <v>0.25753444990343077</v>
      </c>
      <c r="G32" s="383">
        <f t="shared" ref="G32:J32" si="1">G31+F32</f>
        <v>0.45146601040831186</v>
      </c>
      <c r="H32" s="383">
        <f t="shared" si="1"/>
        <v>0.69009928041827895</v>
      </c>
      <c r="I32" s="383">
        <f>I31+H32</f>
        <v>0.88490429146827376</v>
      </c>
      <c r="J32" s="383">
        <f t="shared" si="1"/>
        <v>1.0000000000000002</v>
      </c>
    </row>
    <row r="33" spans="1:16" ht="24.95" customHeight="1" x14ac:dyDescent="0.2">
      <c r="A33" s="595" t="s">
        <v>16</v>
      </c>
      <c r="B33" s="595"/>
      <c r="C33" s="595"/>
      <c r="D33" s="596"/>
      <c r="E33" s="384">
        <f>SUM(E8,E10,E12,E14,E16,E18,E20,E22,E24,E26,E28,E30)</f>
        <v>40293.555000000008</v>
      </c>
      <c r="F33" s="384">
        <f t="shared" ref="F33:J33" si="2">SUM(F8,F10,F12,F14,F16,F18,F20,F22,F24,F26,F28,F30)</f>
        <v>30418.912500000006</v>
      </c>
      <c r="G33" s="384">
        <f t="shared" si="2"/>
        <v>53248.717500000013</v>
      </c>
      <c r="H33" s="384">
        <f t="shared" si="2"/>
        <v>65522.680000000008</v>
      </c>
      <c r="I33" s="384">
        <f t="shared" si="2"/>
        <v>53488.544999999998</v>
      </c>
      <c r="J33" s="384">
        <f t="shared" si="2"/>
        <v>31602.379999999997</v>
      </c>
    </row>
    <row r="34" spans="1:16" ht="24.95" customHeight="1" x14ac:dyDescent="0.2">
      <c r="A34" s="595" t="s">
        <v>17</v>
      </c>
      <c r="B34" s="595"/>
      <c r="C34" s="595"/>
      <c r="D34" s="596"/>
      <c r="E34" s="384">
        <f>E33</f>
        <v>40293.555000000008</v>
      </c>
      <c r="F34" s="384">
        <f>F33+E34</f>
        <v>70712.467500000013</v>
      </c>
      <c r="G34" s="384">
        <f t="shared" ref="G34:J34" si="3">G33+F34</f>
        <v>123961.18500000003</v>
      </c>
      <c r="H34" s="384">
        <f t="shared" si="3"/>
        <v>189483.86500000005</v>
      </c>
      <c r="I34" s="384">
        <f>I33+H34</f>
        <v>242972.41000000003</v>
      </c>
      <c r="J34" s="384">
        <f t="shared" si="3"/>
        <v>274574.79000000004</v>
      </c>
    </row>
    <row r="35" spans="1:16" ht="15" customHeight="1" x14ac:dyDescent="0.2">
      <c r="A35" s="625"/>
      <c r="B35" s="626"/>
      <c r="C35" s="626"/>
      <c r="D35" s="626"/>
      <c r="E35" s="626"/>
      <c r="F35" s="626"/>
      <c r="G35" s="626"/>
      <c r="H35" s="626"/>
      <c r="I35" s="626"/>
      <c r="J35" s="627"/>
      <c r="K35" s="47"/>
    </row>
    <row r="36" spans="1:16" ht="15" customHeight="1" x14ac:dyDescent="0.2">
      <c r="A36" s="628"/>
      <c r="B36" s="629"/>
      <c r="C36" s="629"/>
      <c r="D36" s="629"/>
      <c r="E36" s="629"/>
      <c r="F36" s="629"/>
      <c r="G36" s="629"/>
      <c r="H36" s="629"/>
      <c r="I36" s="629"/>
      <c r="J36" s="630"/>
      <c r="K36" s="47"/>
    </row>
    <row r="37" spans="1:16" ht="15" customHeight="1" x14ac:dyDescent="0.2">
      <c r="A37" s="507" t="s">
        <v>37</v>
      </c>
      <c r="B37" s="508"/>
      <c r="C37" s="508"/>
      <c r="D37" s="508"/>
      <c r="E37" s="508"/>
      <c r="F37" s="508"/>
      <c r="G37" s="508"/>
      <c r="H37" s="508"/>
      <c r="I37" s="508"/>
      <c r="J37" s="509"/>
      <c r="K37" s="47"/>
    </row>
    <row r="38" spans="1:16" ht="15" customHeight="1" x14ac:dyDescent="0.2">
      <c r="A38" s="507" t="s">
        <v>40</v>
      </c>
      <c r="B38" s="508"/>
      <c r="C38" s="508"/>
      <c r="D38" s="508"/>
      <c r="E38" s="508"/>
      <c r="F38" s="508"/>
      <c r="G38" s="508"/>
      <c r="H38" s="508"/>
      <c r="I38" s="508"/>
      <c r="J38" s="509"/>
      <c r="K38" s="47"/>
    </row>
    <row r="39" spans="1:16" ht="15" customHeight="1" x14ac:dyDescent="0.2">
      <c r="A39" s="507"/>
      <c r="B39" s="508"/>
      <c r="C39" s="508"/>
      <c r="D39" s="508"/>
      <c r="E39" s="508"/>
      <c r="F39" s="508"/>
      <c r="G39" s="508"/>
      <c r="H39" s="508"/>
      <c r="I39" s="508"/>
      <c r="J39" s="509"/>
      <c r="K39" s="47"/>
      <c r="M39" s="507"/>
      <c r="N39" s="508"/>
      <c r="O39" s="508"/>
      <c r="P39" s="509"/>
    </row>
    <row r="40" spans="1:16" ht="15" customHeight="1" x14ac:dyDescent="0.2">
      <c r="A40" s="507"/>
      <c r="B40" s="508"/>
      <c r="C40" s="508"/>
      <c r="D40" s="508"/>
      <c r="E40" s="508"/>
      <c r="F40" s="508"/>
      <c r="G40" s="508"/>
      <c r="H40" s="508"/>
      <c r="I40" s="508"/>
      <c r="J40" s="509"/>
      <c r="K40" s="47"/>
      <c r="M40" s="507"/>
      <c r="N40" s="508"/>
      <c r="O40" s="508"/>
      <c r="P40" s="509"/>
    </row>
    <row r="41" spans="1:16" ht="15" customHeight="1" x14ac:dyDescent="0.2">
      <c r="A41" s="507" t="s">
        <v>38</v>
      </c>
      <c r="B41" s="508"/>
      <c r="C41" s="508"/>
      <c r="D41" s="508"/>
      <c r="E41" s="508"/>
      <c r="F41" s="508"/>
      <c r="G41" s="508"/>
      <c r="H41" s="508"/>
      <c r="I41" s="508"/>
      <c r="J41" s="509"/>
      <c r="K41" s="47"/>
      <c r="M41" s="507"/>
      <c r="N41" s="508"/>
      <c r="O41" s="508"/>
      <c r="P41" s="509"/>
    </row>
    <row r="42" spans="1:16" ht="15" customHeight="1" x14ac:dyDescent="0.2">
      <c r="A42" s="507" t="s">
        <v>33</v>
      </c>
      <c r="B42" s="508"/>
      <c r="C42" s="508"/>
      <c r="D42" s="508"/>
      <c r="E42" s="508"/>
      <c r="F42" s="508"/>
      <c r="G42" s="508"/>
      <c r="H42" s="508"/>
      <c r="I42" s="508"/>
      <c r="J42" s="509"/>
      <c r="K42" s="47"/>
      <c r="M42" s="507"/>
      <c r="N42" s="508"/>
      <c r="O42" s="508"/>
      <c r="P42" s="509"/>
    </row>
    <row r="43" spans="1:16" ht="15" customHeight="1" x14ac:dyDescent="0.2">
      <c r="A43" s="504"/>
      <c r="B43" s="505"/>
      <c r="C43" s="505"/>
      <c r="D43" s="505"/>
      <c r="E43" s="505"/>
      <c r="F43" s="505"/>
      <c r="G43" s="505"/>
      <c r="H43" s="505"/>
      <c r="I43" s="505"/>
      <c r="J43" s="506"/>
      <c r="K43" s="47"/>
      <c r="M43" s="507"/>
      <c r="N43" s="508"/>
      <c r="O43" s="508"/>
      <c r="P43" s="509"/>
    </row>
    <row r="44" spans="1:16" ht="15" customHeight="1" x14ac:dyDescent="0.2">
      <c r="A44" s="631"/>
      <c r="B44" s="632"/>
      <c r="C44" s="632"/>
      <c r="D44" s="632"/>
      <c r="E44" s="632"/>
      <c r="F44" s="632"/>
      <c r="G44" s="632"/>
      <c r="H44" s="632"/>
      <c r="I44" s="632"/>
      <c r="J44" s="633"/>
      <c r="K44" s="47"/>
      <c r="M44" s="504"/>
      <c r="N44" s="505"/>
      <c r="O44" s="505"/>
      <c r="P44" s="506"/>
    </row>
  </sheetData>
  <mergeCells count="63">
    <mergeCell ref="A35:J36"/>
    <mergeCell ref="M44:P44"/>
    <mergeCell ref="A37:J37"/>
    <mergeCell ref="A38:J38"/>
    <mergeCell ref="A41:J41"/>
    <mergeCell ref="A42:J42"/>
    <mergeCell ref="A43:J44"/>
    <mergeCell ref="A39:J40"/>
    <mergeCell ref="M39:P39"/>
    <mergeCell ref="M40:P40"/>
    <mergeCell ref="M41:P41"/>
    <mergeCell ref="M42:P42"/>
    <mergeCell ref="M43:P43"/>
    <mergeCell ref="D25:D26"/>
    <mergeCell ref="D27:D28"/>
    <mergeCell ref="D29:D30"/>
    <mergeCell ref="D17:D18"/>
    <mergeCell ref="D13:D14"/>
    <mergeCell ref="D19:D20"/>
    <mergeCell ref="D21:D22"/>
    <mergeCell ref="D23:D24"/>
    <mergeCell ref="A25:A26"/>
    <mergeCell ref="A27:A28"/>
    <mergeCell ref="A29:A30"/>
    <mergeCell ref="B19:B20"/>
    <mergeCell ref="B21:B22"/>
    <mergeCell ref="B23:B24"/>
    <mergeCell ref="B25:B26"/>
    <mergeCell ref="B27:B28"/>
    <mergeCell ref="B29:B30"/>
    <mergeCell ref="A17:A18"/>
    <mergeCell ref="B17:B18"/>
    <mergeCell ref="A19:A20"/>
    <mergeCell ref="A21:A22"/>
    <mergeCell ref="A23:A24"/>
    <mergeCell ref="A5:A6"/>
    <mergeCell ref="B5:C6"/>
    <mergeCell ref="D5:D6"/>
    <mergeCell ref="E5:J5"/>
    <mergeCell ref="A1:J1"/>
    <mergeCell ref="A2:H2"/>
    <mergeCell ref="A3:D3"/>
    <mergeCell ref="H3:J3"/>
    <mergeCell ref="A4:D4"/>
    <mergeCell ref="A7:A8"/>
    <mergeCell ref="B7:B8"/>
    <mergeCell ref="D7:D8"/>
    <mergeCell ref="A9:A10"/>
    <mergeCell ref="B9:B10"/>
    <mergeCell ref="D9:D10"/>
    <mergeCell ref="A11:A12"/>
    <mergeCell ref="B11:B12"/>
    <mergeCell ref="D11:D12"/>
    <mergeCell ref="A15:A16"/>
    <mergeCell ref="B15:B16"/>
    <mergeCell ref="D15:D16"/>
    <mergeCell ref="B13:B14"/>
    <mergeCell ref="A13:A14"/>
    <mergeCell ref="A31:C31"/>
    <mergeCell ref="D31:D34"/>
    <mergeCell ref="A32:C32"/>
    <mergeCell ref="A33:C33"/>
    <mergeCell ref="A34:C34"/>
  </mergeCells>
  <conditionalFormatting sqref="E7:J34">
    <cfRule type="cellIs" dxfId="1" priority="1" operator="equal">
      <formula>0</formula>
    </cfRule>
  </conditionalFormatting>
  <printOptions horizontalCentered="1" gridLines="1"/>
  <pageMargins left="0.51181102362204722" right="0.51181102362204722" top="0.78740157480314965" bottom="0.78740157480314965" header="0.31496062992125984" footer="0.31496062992125984"/>
  <pageSetup paperSize="9" scale="55" fitToWidth="0" fitToHeight="0" orientation="portrait" r:id="rId1"/>
  <headerFooter alignWithMargins="0">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5"/>
  <sheetViews>
    <sheetView view="pageBreakPreview" zoomScale="130" zoomScaleNormal="100" zoomScaleSheetLayoutView="130" workbookViewId="0">
      <selection activeCell="E3" sqref="E3:F3"/>
    </sheetView>
  </sheetViews>
  <sheetFormatPr defaultRowHeight="12.75" x14ac:dyDescent="0.2"/>
  <cols>
    <col min="1" max="1" width="48.42578125" style="59" customWidth="1"/>
    <col min="2" max="2" width="9.140625" style="59"/>
    <col min="3" max="3" width="9.85546875" style="59" customWidth="1"/>
    <col min="4" max="4" width="9.5703125" style="59" bestFit="1" customWidth="1"/>
    <col min="5" max="5" width="9.140625" style="59"/>
    <col min="6" max="6" width="9.28515625" style="59" customWidth="1"/>
    <col min="7" max="7" width="9.85546875" style="59" customWidth="1"/>
    <col min="8" max="16384" width="9.140625" style="59"/>
  </cols>
  <sheetData>
    <row r="1" spans="1:10" ht="15" x14ac:dyDescent="0.2">
      <c r="A1" s="651" t="s">
        <v>854</v>
      </c>
      <c r="B1" s="652"/>
      <c r="C1" s="652"/>
      <c r="D1" s="652"/>
      <c r="E1" s="652"/>
      <c r="F1" s="652"/>
      <c r="G1" s="464"/>
    </row>
    <row r="2" spans="1:10" ht="15" x14ac:dyDescent="0.2">
      <c r="A2" s="653" t="s">
        <v>857</v>
      </c>
      <c r="B2" s="654"/>
      <c r="C2" s="654"/>
      <c r="D2" s="654"/>
      <c r="E2" s="658" t="s">
        <v>874</v>
      </c>
      <c r="F2" s="658"/>
      <c r="G2" s="659"/>
    </row>
    <row r="3" spans="1:10" ht="15" x14ac:dyDescent="0.2">
      <c r="A3" s="653" t="s">
        <v>861</v>
      </c>
      <c r="B3" s="654"/>
      <c r="C3" s="654"/>
      <c r="D3" s="654"/>
      <c r="E3" s="655"/>
      <c r="F3" s="655"/>
      <c r="G3" s="465"/>
    </row>
    <row r="4" spans="1:10" ht="15" x14ac:dyDescent="0.2">
      <c r="A4" s="656" t="s">
        <v>858</v>
      </c>
      <c r="B4" s="657"/>
      <c r="C4" s="657"/>
      <c r="D4" s="657"/>
      <c r="E4" s="657"/>
      <c r="F4" s="657"/>
      <c r="G4" s="465"/>
    </row>
    <row r="5" spans="1:10" ht="15" x14ac:dyDescent="0.2">
      <c r="A5" s="466" t="s">
        <v>35</v>
      </c>
      <c r="B5" s="467"/>
      <c r="C5" s="467"/>
      <c r="D5" s="467"/>
      <c r="E5" s="468"/>
      <c r="F5" s="468"/>
      <c r="G5" s="465"/>
    </row>
    <row r="6" spans="1:10" ht="14.25" x14ac:dyDescent="0.2">
      <c r="A6" s="469"/>
      <c r="B6" s="470"/>
      <c r="C6" s="470"/>
      <c r="D6" s="470"/>
      <c r="E6" s="470"/>
      <c r="F6" s="470"/>
      <c r="G6" s="465"/>
    </row>
    <row r="7" spans="1:10" ht="24" customHeight="1" x14ac:dyDescent="0.2">
      <c r="A7" s="634" t="s">
        <v>584</v>
      </c>
      <c r="B7" s="635"/>
      <c r="C7" s="635"/>
      <c r="D7" s="636"/>
      <c r="E7" s="637" t="s">
        <v>585</v>
      </c>
      <c r="F7" s="638"/>
      <c r="G7" s="60" t="s">
        <v>6</v>
      </c>
      <c r="J7" s="355"/>
    </row>
    <row r="8" spans="1:10" ht="12.75" customHeight="1" x14ac:dyDescent="0.25">
      <c r="A8" s="419" t="s">
        <v>385</v>
      </c>
      <c r="B8" s="419" t="s">
        <v>56</v>
      </c>
      <c r="C8" s="419" t="s">
        <v>57</v>
      </c>
      <c r="D8" s="419" t="s">
        <v>36</v>
      </c>
      <c r="E8" s="419" t="s">
        <v>58</v>
      </c>
      <c r="F8" s="419" t="s">
        <v>389</v>
      </c>
      <c r="G8" s="419" t="s">
        <v>388</v>
      </c>
    </row>
    <row r="9" spans="1:10" ht="12.75" customHeight="1" x14ac:dyDescent="0.2">
      <c r="A9" s="420" t="s">
        <v>124</v>
      </c>
      <c r="B9" s="421" t="s">
        <v>60</v>
      </c>
      <c r="C9" s="422" t="s">
        <v>123</v>
      </c>
      <c r="D9" s="423">
        <v>0.23200000000000001</v>
      </c>
      <c r="E9" s="424">
        <v>12.95</v>
      </c>
      <c r="F9" s="424" t="s">
        <v>390</v>
      </c>
      <c r="G9" s="424">
        <f>ROUND(E9*D9,2)</f>
        <v>3</v>
      </c>
    </row>
    <row r="10" spans="1:10" ht="12.75" customHeight="1" x14ac:dyDescent="0.2">
      <c r="A10" s="420" t="s">
        <v>127</v>
      </c>
      <c r="B10" s="421" t="s">
        <v>60</v>
      </c>
      <c r="C10" s="422" t="s">
        <v>128</v>
      </c>
      <c r="D10" s="423">
        <v>0.23200000000000001</v>
      </c>
      <c r="E10" s="424">
        <v>15.34</v>
      </c>
      <c r="F10" s="424" t="s">
        <v>390</v>
      </c>
      <c r="G10" s="424">
        <f>ROUND(E10*D10,2)</f>
        <v>3.56</v>
      </c>
    </row>
    <row r="11" spans="1:10" ht="12.75" customHeight="1" x14ac:dyDescent="0.25">
      <c r="A11" s="639" t="s">
        <v>61</v>
      </c>
      <c r="B11" s="639"/>
      <c r="C11" s="639"/>
      <c r="D11" s="639"/>
      <c r="E11" s="639"/>
      <c r="F11" s="639"/>
      <c r="G11" s="424">
        <f>SUM(G9:G10)</f>
        <v>6.5600000000000005</v>
      </c>
    </row>
    <row r="12" spans="1:10" ht="12.75" customHeight="1" x14ac:dyDescent="0.25">
      <c r="A12" s="640"/>
      <c r="B12" s="640"/>
      <c r="C12" s="640"/>
      <c r="D12" s="640"/>
      <c r="E12" s="640"/>
      <c r="F12" s="640"/>
      <c r="G12" s="640"/>
    </row>
    <row r="13" spans="1:10" ht="12.75" customHeight="1" x14ac:dyDescent="0.25">
      <c r="A13" s="419" t="s">
        <v>391</v>
      </c>
      <c r="B13" s="419" t="s">
        <v>56</v>
      </c>
      <c r="C13" s="419" t="s">
        <v>57</v>
      </c>
      <c r="D13" s="419" t="s">
        <v>36</v>
      </c>
      <c r="E13" s="419" t="s">
        <v>58</v>
      </c>
      <c r="F13" s="419" t="s">
        <v>389</v>
      </c>
      <c r="G13" s="419" t="s">
        <v>388</v>
      </c>
    </row>
    <row r="14" spans="1:10" ht="12.75" customHeight="1" x14ac:dyDescent="0.2">
      <c r="A14" s="426" t="s">
        <v>383</v>
      </c>
      <c r="B14" s="421" t="s">
        <v>4</v>
      </c>
      <c r="C14" s="422" t="s">
        <v>384</v>
      </c>
      <c r="D14" s="423">
        <v>3</v>
      </c>
      <c r="E14" s="421">
        <v>0.28999999999999998</v>
      </c>
      <c r="F14" s="421" t="s">
        <v>390</v>
      </c>
      <c r="G14" s="427">
        <f>E14*D14</f>
        <v>0.86999999999999988</v>
      </c>
    </row>
    <row r="15" spans="1:10" ht="12.75" customHeight="1" x14ac:dyDescent="0.25">
      <c r="A15" s="639" t="s">
        <v>61</v>
      </c>
      <c r="B15" s="639"/>
      <c r="C15" s="639"/>
      <c r="D15" s="639"/>
      <c r="E15" s="639"/>
      <c r="F15" s="639"/>
      <c r="G15" s="428">
        <f>SUM(G14:G14)</f>
        <v>0.86999999999999988</v>
      </c>
    </row>
    <row r="16" spans="1:10" ht="12.75" customHeight="1" x14ac:dyDescent="0.2">
      <c r="A16" s="645"/>
      <c r="B16" s="645"/>
      <c r="C16" s="645"/>
      <c r="D16" s="645"/>
      <c r="E16" s="645"/>
      <c r="F16" s="645"/>
      <c r="G16" s="645"/>
    </row>
    <row r="17" spans="1:7" ht="12.75" customHeight="1" x14ac:dyDescent="0.25">
      <c r="A17" s="647" t="s">
        <v>63</v>
      </c>
      <c r="B17" s="647"/>
      <c r="C17" s="647"/>
      <c r="D17" s="647"/>
      <c r="E17" s="647"/>
      <c r="F17" s="647"/>
      <c r="G17" s="647"/>
    </row>
    <row r="18" spans="1:7" ht="12.75" customHeight="1" x14ac:dyDescent="0.25">
      <c r="A18" s="419" t="s">
        <v>64</v>
      </c>
      <c r="B18" s="419" t="s">
        <v>65</v>
      </c>
      <c r="C18" s="419" t="s">
        <v>66</v>
      </c>
      <c r="D18" s="642" t="s">
        <v>396</v>
      </c>
      <c r="E18" s="642"/>
      <c r="F18" s="642"/>
      <c r="G18" s="642"/>
    </row>
    <row r="19" spans="1:7" ht="12.75" customHeight="1" x14ac:dyDescent="0.25">
      <c r="A19" s="429" t="s">
        <v>67</v>
      </c>
      <c r="B19" s="430"/>
      <c r="C19" s="431">
        <f>G11</f>
        <v>6.5600000000000005</v>
      </c>
      <c r="D19" s="642"/>
      <c r="E19" s="642"/>
      <c r="F19" s="642"/>
      <c r="G19" s="642"/>
    </row>
    <row r="20" spans="1:7" ht="12.75" customHeight="1" x14ac:dyDescent="0.25">
      <c r="A20" s="429" t="s">
        <v>68</v>
      </c>
      <c r="B20" s="431"/>
      <c r="C20" s="431">
        <f>G15</f>
        <v>0.86999999999999988</v>
      </c>
      <c r="D20" s="642"/>
      <c r="E20" s="642"/>
      <c r="F20" s="642"/>
      <c r="G20" s="642"/>
    </row>
    <row r="21" spans="1:7" ht="12.75" customHeight="1" x14ac:dyDescent="0.25">
      <c r="A21" s="429" t="s">
        <v>69</v>
      </c>
      <c r="B21" s="429"/>
      <c r="C21" s="431">
        <v>0</v>
      </c>
      <c r="D21" s="642"/>
      <c r="E21" s="642"/>
      <c r="F21" s="642"/>
      <c r="G21" s="642"/>
    </row>
    <row r="22" spans="1:7" ht="12.75" customHeight="1" x14ac:dyDescent="0.25">
      <c r="A22" s="429" t="s">
        <v>70</v>
      </c>
      <c r="B22" s="429"/>
      <c r="C22" s="431">
        <v>1</v>
      </c>
      <c r="D22" s="642"/>
      <c r="E22" s="642"/>
      <c r="F22" s="642"/>
      <c r="G22" s="642"/>
    </row>
    <row r="23" spans="1:7" ht="12.75" customHeight="1" x14ac:dyDescent="0.25">
      <c r="A23" s="429" t="s">
        <v>71</v>
      </c>
      <c r="B23" s="429"/>
      <c r="C23" s="431">
        <f>C19+C21</f>
        <v>6.5600000000000005</v>
      </c>
      <c r="D23" s="642"/>
      <c r="E23" s="642"/>
      <c r="F23" s="642"/>
      <c r="G23" s="642"/>
    </row>
    <row r="24" spans="1:7" ht="12.75" customHeight="1" x14ac:dyDescent="0.25">
      <c r="A24" s="429" t="s">
        <v>72</v>
      </c>
      <c r="B24" s="429"/>
      <c r="C24" s="431">
        <f>(C19+C21)/C22</f>
        <v>6.5600000000000005</v>
      </c>
      <c r="D24" s="642"/>
      <c r="E24" s="642"/>
      <c r="F24" s="642"/>
      <c r="G24" s="642"/>
    </row>
    <row r="25" spans="1:7" ht="12.75" customHeight="1" x14ac:dyDescent="0.25">
      <c r="A25" s="429" t="s">
        <v>73</v>
      </c>
      <c r="B25" s="429"/>
      <c r="C25" s="431">
        <f>C20+C24</f>
        <v>7.4300000000000006</v>
      </c>
      <c r="D25" s="642"/>
      <c r="E25" s="642"/>
      <c r="F25" s="642"/>
      <c r="G25" s="642"/>
    </row>
    <row r="26" spans="1:7" ht="12.75" customHeight="1" x14ac:dyDescent="0.25">
      <c r="A26" s="429" t="s">
        <v>74</v>
      </c>
      <c r="B26" s="430">
        <v>0.2631</v>
      </c>
      <c r="C26" s="431">
        <f>C25*B26</f>
        <v>1.9548330000000003</v>
      </c>
      <c r="D26" s="642"/>
      <c r="E26" s="642"/>
      <c r="F26" s="642"/>
      <c r="G26" s="642"/>
    </row>
    <row r="27" spans="1:7" ht="12.75" customHeight="1" x14ac:dyDescent="0.25">
      <c r="A27" s="429" t="s">
        <v>75</v>
      </c>
      <c r="B27" s="643">
        <f>C25+C26</f>
        <v>9.3848330000000004</v>
      </c>
      <c r="C27" s="643"/>
      <c r="D27" s="642"/>
      <c r="E27" s="642"/>
      <c r="F27" s="642"/>
      <c r="G27" s="642"/>
    </row>
    <row r="28" spans="1:7" ht="12.75" customHeight="1" x14ac:dyDescent="0.2">
      <c r="A28" s="645"/>
      <c r="B28" s="645"/>
      <c r="C28" s="645"/>
      <c r="D28" s="645"/>
      <c r="E28" s="645"/>
      <c r="F28" s="645"/>
      <c r="G28" s="645"/>
    </row>
    <row r="29" spans="1:7" ht="12.75" customHeight="1" x14ac:dyDescent="0.2">
      <c r="A29" s="634" t="s">
        <v>855</v>
      </c>
      <c r="B29" s="635"/>
      <c r="C29" s="635"/>
      <c r="D29" s="636"/>
      <c r="E29" s="637" t="s">
        <v>437</v>
      </c>
      <c r="F29" s="638"/>
      <c r="G29" s="60" t="s">
        <v>4</v>
      </c>
    </row>
    <row r="30" spans="1:7" ht="12.75" customHeight="1" x14ac:dyDescent="0.25">
      <c r="A30" s="419" t="s">
        <v>385</v>
      </c>
      <c r="B30" s="419" t="s">
        <v>56</v>
      </c>
      <c r="C30" s="419" t="s">
        <v>57</v>
      </c>
      <c r="D30" s="419" t="s">
        <v>36</v>
      </c>
      <c r="E30" s="419" t="s">
        <v>58</v>
      </c>
      <c r="F30" s="419" t="s">
        <v>389</v>
      </c>
      <c r="G30" s="419" t="s">
        <v>59</v>
      </c>
    </row>
    <row r="31" spans="1:7" ht="12.75" customHeight="1" x14ac:dyDescent="0.2">
      <c r="A31" s="420" t="s">
        <v>124</v>
      </c>
      <c r="B31" s="421" t="s">
        <v>60</v>
      </c>
      <c r="C31" s="422" t="s">
        <v>123</v>
      </c>
      <c r="D31" s="423">
        <v>1.1000000000000001</v>
      </c>
      <c r="E31" s="424">
        <v>12.95</v>
      </c>
      <c r="F31" s="424" t="s">
        <v>390</v>
      </c>
      <c r="G31" s="424">
        <f>ROUND(E31*D31,2)</f>
        <v>14.25</v>
      </c>
    </row>
    <row r="32" spans="1:7" ht="12.75" customHeight="1" x14ac:dyDescent="0.2">
      <c r="A32" s="420" t="s">
        <v>114</v>
      </c>
      <c r="B32" s="421" t="s">
        <v>60</v>
      </c>
      <c r="C32" s="422" t="s">
        <v>135</v>
      </c>
      <c r="D32" s="423">
        <v>1.1000000000000001</v>
      </c>
      <c r="E32" s="424">
        <v>15.34</v>
      </c>
      <c r="F32" s="424" t="s">
        <v>390</v>
      </c>
      <c r="G32" s="424">
        <f>ROUND(E32*D32,2)</f>
        <v>16.87</v>
      </c>
    </row>
    <row r="33" spans="1:7" ht="12.75" customHeight="1" x14ac:dyDescent="0.25">
      <c r="A33" s="639" t="s">
        <v>61</v>
      </c>
      <c r="B33" s="639"/>
      <c r="C33" s="639"/>
      <c r="D33" s="639"/>
      <c r="E33" s="639"/>
      <c r="F33" s="639"/>
      <c r="G33" s="424">
        <f>SUM(G31:G32)</f>
        <v>31.12</v>
      </c>
    </row>
    <row r="34" spans="1:7" ht="12.75" customHeight="1" x14ac:dyDescent="0.25">
      <c r="A34" s="640"/>
      <c r="B34" s="640"/>
      <c r="C34" s="640"/>
      <c r="D34" s="640"/>
      <c r="E34" s="640"/>
      <c r="F34" s="640"/>
      <c r="G34" s="640"/>
    </row>
    <row r="35" spans="1:7" ht="12.75" customHeight="1" x14ac:dyDescent="0.25">
      <c r="A35" s="419" t="s">
        <v>62</v>
      </c>
      <c r="B35" s="419" t="s">
        <v>56</v>
      </c>
      <c r="C35" s="419" t="s">
        <v>57</v>
      </c>
      <c r="D35" s="419" t="s">
        <v>36</v>
      </c>
      <c r="E35" s="419" t="s">
        <v>58</v>
      </c>
      <c r="F35" s="419" t="s">
        <v>392</v>
      </c>
      <c r="G35" s="419" t="s">
        <v>59</v>
      </c>
    </row>
    <row r="36" spans="1:7" ht="12.75" customHeight="1" x14ac:dyDescent="0.2">
      <c r="A36" s="432" t="s">
        <v>137</v>
      </c>
      <c r="B36" s="421" t="s">
        <v>4</v>
      </c>
      <c r="C36" s="422" t="s">
        <v>136</v>
      </c>
      <c r="D36" s="423">
        <v>1</v>
      </c>
      <c r="E36" s="421">
        <v>220.17</v>
      </c>
      <c r="F36" s="421" t="s">
        <v>390</v>
      </c>
      <c r="G36" s="427">
        <f>E36*D36</f>
        <v>220.17</v>
      </c>
    </row>
    <row r="37" spans="1:7" ht="12.75" customHeight="1" x14ac:dyDescent="0.25">
      <c r="A37" s="639" t="s">
        <v>61</v>
      </c>
      <c r="B37" s="639"/>
      <c r="C37" s="639"/>
      <c r="D37" s="639"/>
      <c r="E37" s="639"/>
      <c r="F37" s="639"/>
      <c r="G37" s="428">
        <f>SUM(G36:G36)</f>
        <v>220.17</v>
      </c>
    </row>
    <row r="38" spans="1:7" ht="12.75" customHeight="1" x14ac:dyDescent="0.2">
      <c r="A38" s="645"/>
      <c r="B38" s="645"/>
      <c r="C38" s="645"/>
      <c r="D38" s="645"/>
      <c r="E38" s="645"/>
      <c r="F38" s="645"/>
      <c r="G38" s="645"/>
    </row>
    <row r="39" spans="1:7" ht="12.75" customHeight="1" x14ac:dyDescent="0.25">
      <c r="A39" s="647" t="s">
        <v>63</v>
      </c>
      <c r="B39" s="647"/>
      <c r="C39" s="647"/>
      <c r="D39" s="647"/>
      <c r="E39" s="647"/>
      <c r="F39" s="647"/>
      <c r="G39" s="647"/>
    </row>
    <row r="40" spans="1:7" ht="12.75" customHeight="1" x14ac:dyDescent="0.25">
      <c r="A40" s="419" t="s">
        <v>64</v>
      </c>
      <c r="B40" s="419" t="s">
        <v>65</v>
      </c>
      <c r="C40" s="419" t="s">
        <v>66</v>
      </c>
      <c r="D40" s="642" t="s">
        <v>395</v>
      </c>
      <c r="E40" s="642"/>
      <c r="F40" s="642"/>
      <c r="G40" s="642"/>
    </row>
    <row r="41" spans="1:7" ht="12.75" customHeight="1" x14ac:dyDescent="0.25">
      <c r="A41" s="429" t="s">
        <v>67</v>
      </c>
      <c r="B41" s="430"/>
      <c r="C41" s="431">
        <f>G33</f>
        <v>31.12</v>
      </c>
      <c r="D41" s="642"/>
      <c r="E41" s="642"/>
      <c r="F41" s="642"/>
      <c r="G41" s="642"/>
    </row>
    <row r="42" spans="1:7" ht="12.75" customHeight="1" x14ac:dyDescent="0.25">
      <c r="A42" s="429" t="s">
        <v>68</v>
      </c>
      <c r="B42" s="431"/>
      <c r="C42" s="431">
        <f>G37</f>
        <v>220.17</v>
      </c>
      <c r="D42" s="642"/>
      <c r="E42" s="642"/>
      <c r="F42" s="642"/>
      <c r="G42" s="642"/>
    </row>
    <row r="43" spans="1:7" ht="12.75" customHeight="1" x14ac:dyDescent="0.25">
      <c r="A43" s="429" t="s">
        <v>69</v>
      </c>
      <c r="B43" s="429"/>
      <c r="C43" s="431">
        <v>0</v>
      </c>
      <c r="D43" s="642"/>
      <c r="E43" s="642"/>
      <c r="F43" s="642"/>
      <c r="G43" s="642"/>
    </row>
    <row r="44" spans="1:7" ht="12.75" customHeight="1" x14ac:dyDescent="0.25">
      <c r="A44" s="429" t="s">
        <v>70</v>
      </c>
      <c r="B44" s="429"/>
      <c r="C44" s="431">
        <v>1</v>
      </c>
      <c r="D44" s="642"/>
      <c r="E44" s="642"/>
      <c r="F44" s="642"/>
      <c r="G44" s="642"/>
    </row>
    <row r="45" spans="1:7" ht="12.75" customHeight="1" x14ac:dyDescent="0.25">
      <c r="A45" s="429" t="s">
        <v>71</v>
      </c>
      <c r="B45" s="429"/>
      <c r="C45" s="431">
        <f>C41+C43</f>
        <v>31.12</v>
      </c>
      <c r="D45" s="642"/>
      <c r="E45" s="642"/>
      <c r="F45" s="642"/>
      <c r="G45" s="642"/>
    </row>
    <row r="46" spans="1:7" ht="12.75" customHeight="1" x14ac:dyDescent="0.25">
      <c r="A46" s="429" t="s">
        <v>72</v>
      </c>
      <c r="B46" s="429"/>
      <c r="C46" s="431">
        <f>(C41+C43)/C44</f>
        <v>31.12</v>
      </c>
      <c r="D46" s="642"/>
      <c r="E46" s="642"/>
      <c r="F46" s="642"/>
      <c r="G46" s="642"/>
    </row>
    <row r="47" spans="1:7" ht="12.75" customHeight="1" x14ac:dyDescent="0.25">
      <c r="A47" s="429" t="s">
        <v>73</v>
      </c>
      <c r="B47" s="429"/>
      <c r="C47" s="431">
        <f>C42+C46</f>
        <v>251.29</v>
      </c>
      <c r="D47" s="642"/>
      <c r="E47" s="642"/>
      <c r="F47" s="642"/>
      <c r="G47" s="642"/>
    </row>
    <row r="48" spans="1:7" ht="12.75" customHeight="1" x14ac:dyDescent="0.25">
      <c r="A48" s="429" t="s">
        <v>74</v>
      </c>
      <c r="B48" s="430">
        <v>0.2631</v>
      </c>
      <c r="C48" s="431">
        <f>C47*B48</f>
        <v>66.114398999999992</v>
      </c>
      <c r="D48" s="642"/>
      <c r="E48" s="642"/>
      <c r="F48" s="642"/>
      <c r="G48" s="642"/>
    </row>
    <row r="49" spans="1:7" ht="12.75" customHeight="1" x14ac:dyDescent="0.25">
      <c r="A49" s="429" t="s">
        <v>75</v>
      </c>
      <c r="B49" s="643">
        <f>C47+C48</f>
        <v>317.40439900000001</v>
      </c>
      <c r="C49" s="643"/>
      <c r="D49" s="642"/>
      <c r="E49" s="642"/>
      <c r="F49" s="642"/>
      <c r="G49" s="642"/>
    </row>
    <row r="50" spans="1:7" ht="12.75" customHeight="1" x14ac:dyDescent="0.2">
      <c r="A50" s="645"/>
      <c r="B50" s="645"/>
      <c r="C50" s="645"/>
      <c r="D50" s="645"/>
      <c r="E50" s="645"/>
      <c r="F50" s="645"/>
      <c r="G50" s="645"/>
    </row>
    <row r="51" spans="1:7" ht="39" customHeight="1" x14ac:dyDescent="0.2">
      <c r="A51" s="634" t="s">
        <v>163</v>
      </c>
      <c r="B51" s="635"/>
      <c r="C51" s="635"/>
      <c r="D51" s="636"/>
      <c r="E51" s="637" t="s">
        <v>147</v>
      </c>
      <c r="F51" s="638"/>
      <c r="G51" s="399" t="s">
        <v>6</v>
      </c>
    </row>
    <row r="52" spans="1:7" ht="12.75" customHeight="1" x14ac:dyDescent="0.25">
      <c r="A52" s="419" t="s">
        <v>385</v>
      </c>
      <c r="B52" s="419" t="s">
        <v>56</v>
      </c>
      <c r="C52" s="419" t="s">
        <v>57</v>
      </c>
      <c r="D52" s="419" t="s">
        <v>36</v>
      </c>
      <c r="E52" s="419" t="s">
        <v>58</v>
      </c>
      <c r="F52" s="419" t="s">
        <v>389</v>
      </c>
      <c r="G52" s="419" t="s">
        <v>59</v>
      </c>
    </row>
    <row r="53" spans="1:7" ht="12.75" customHeight="1" x14ac:dyDescent="0.2">
      <c r="A53" s="420" t="s">
        <v>124</v>
      </c>
      <c r="B53" s="421" t="s">
        <v>60</v>
      </c>
      <c r="C53" s="422" t="s">
        <v>123</v>
      </c>
      <c r="D53" s="423">
        <v>6.08E-2</v>
      </c>
      <c r="E53" s="424">
        <v>12.95</v>
      </c>
      <c r="F53" s="424" t="s">
        <v>390</v>
      </c>
      <c r="G53" s="424">
        <f>ROUND(E53*D53,2)</f>
        <v>0.79</v>
      </c>
    </row>
    <row r="54" spans="1:7" ht="12.75" customHeight="1" x14ac:dyDescent="0.2">
      <c r="A54" s="420" t="s">
        <v>164</v>
      </c>
      <c r="B54" s="421" t="s">
        <v>60</v>
      </c>
      <c r="C54" s="422" t="s">
        <v>165</v>
      </c>
      <c r="D54" s="423">
        <v>6.08E-2</v>
      </c>
      <c r="E54" s="424">
        <v>15.34</v>
      </c>
      <c r="F54" s="424" t="s">
        <v>390</v>
      </c>
      <c r="G54" s="424">
        <f>ROUND(E54*D54,2)</f>
        <v>0.93</v>
      </c>
    </row>
    <row r="55" spans="1:7" ht="12.75" customHeight="1" x14ac:dyDescent="0.25">
      <c r="A55" s="639" t="s">
        <v>61</v>
      </c>
      <c r="B55" s="639"/>
      <c r="C55" s="639"/>
      <c r="D55" s="639"/>
      <c r="E55" s="639"/>
      <c r="F55" s="639"/>
      <c r="G55" s="424">
        <f>SUM(G53:G54)</f>
        <v>1.7200000000000002</v>
      </c>
    </row>
    <row r="56" spans="1:7" ht="12.75" customHeight="1" x14ac:dyDescent="0.25">
      <c r="A56" s="640"/>
      <c r="B56" s="640"/>
      <c r="C56" s="640"/>
      <c r="D56" s="640"/>
      <c r="E56" s="640"/>
      <c r="F56" s="640"/>
      <c r="G56" s="640"/>
    </row>
    <row r="57" spans="1:7" ht="12.75" customHeight="1" x14ac:dyDescent="0.25">
      <c r="A57" s="419" t="s">
        <v>62</v>
      </c>
      <c r="B57" s="419" t="s">
        <v>56</v>
      </c>
      <c r="C57" s="419" t="s">
        <v>57</v>
      </c>
      <c r="D57" s="419" t="s">
        <v>36</v>
      </c>
      <c r="E57" s="419" t="s">
        <v>58</v>
      </c>
      <c r="F57" s="419" t="s">
        <v>389</v>
      </c>
      <c r="G57" s="419" t="s">
        <v>59</v>
      </c>
    </row>
    <row r="58" spans="1:7" ht="12.75" customHeight="1" x14ac:dyDescent="0.2">
      <c r="A58" s="432" t="s">
        <v>166</v>
      </c>
      <c r="B58" s="421" t="s">
        <v>167</v>
      </c>
      <c r="C58" s="422" t="s">
        <v>168</v>
      </c>
      <c r="D58" s="423">
        <v>3.6538999999999999E-3</v>
      </c>
      <c r="E58" s="421">
        <v>10.71</v>
      </c>
      <c r="F58" s="421" t="s">
        <v>390</v>
      </c>
      <c r="G58" s="433">
        <f>E58*D58</f>
        <v>3.9133268999999998E-2</v>
      </c>
    </row>
    <row r="59" spans="1:7" ht="12.75" customHeight="1" x14ac:dyDescent="0.2">
      <c r="A59" s="432" t="s">
        <v>386</v>
      </c>
      <c r="B59" s="421" t="s">
        <v>5</v>
      </c>
      <c r="C59" s="422" t="s">
        <v>387</v>
      </c>
      <c r="D59" s="423">
        <v>0.62366560000000004</v>
      </c>
      <c r="E59" s="421">
        <v>0.31</v>
      </c>
      <c r="F59" s="421" t="s">
        <v>393</v>
      </c>
      <c r="G59" s="433">
        <f>E59*D59*1.52</f>
        <v>0.29387123072000004</v>
      </c>
    </row>
    <row r="60" spans="1:7" ht="12.75" customHeight="1" x14ac:dyDescent="0.2">
      <c r="A60" s="434" t="s">
        <v>176</v>
      </c>
      <c r="B60" s="421" t="s">
        <v>167</v>
      </c>
      <c r="C60" s="422" t="s">
        <v>170</v>
      </c>
      <c r="D60" s="423">
        <v>3.28851E-2</v>
      </c>
      <c r="E60" s="421">
        <v>24.59</v>
      </c>
      <c r="F60" s="421" t="s">
        <v>390</v>
      </c>
      <c r="G60" s="433">
        <f>E60*D60</f>
        <v>0.80864460900000001</v>
      </c>
    </row>
    <row r="61" spans="1:7" ht="28.5" x14ac:dyDescent="0.2">
      <c r="A61" s="432" t="s">
        <v>177</v>
      </c>
      <c r="B61" s="421" t="s">
        <v>169</v>
      </c>
      <c r="C61" s="422" t="s">
        <v>171</v>
      </c>
      <c r="D61" s="423">
        <v>4.5673800000000001E-2</v>
      </c>
      <c r="E61" s="421">
        <v>2.2400000000000002</v>
      </c>
      <c r="F61" s="421" t="s">
        <v>390</v>
      </c>
      <c r="G61" s="433">
        <f>E61*D61</f>
        <v>0.10230931200000001</v>
      </c>
    </row>
    <row r="62" spans="1:7" ht="28.5" x14ac:dyDescent="0.2">
      <c r="A62" s="432" t="s">
        <v>178</v>
      </c>
      <c r="B62" s="421" t="s">
        <v>6</v>
      </c>
      <c r="C62" s="422" t="s">
        <v>172</v>
      </c>
      <c r="D62" s="423">
        <v>0.99073840000000002</v>
      </c>
      <c r="E62" s="421">
        <v>30.49</v>
      </c>
      <c r="F62" s="421" t="s">
        <v>393</v>
      </c>
      <c r="G62" s="433">
        <f>E62*D62*1.52</f>
        <v>45.915573000319995</v>
      </c>
    </row>
    <row r="63" spans="1:7" ht="23.25" customHeight="1" x14ac:dyDescent="0.2">
      <c r="A63" s="432" t="s">
        <v>179</v>
      </c>
      <c r="B63" s="421" t="s">
        <v>5</v>
      </c>
      <c r="C63" s="422" t="s">
        <v>173</v>
      </c>
      <c r="D63" s="423">
        <v>0.64801359999999997</v>
      </c>
      <c r="E63" s="421">
        <v>56.92</v>
      </c>
      <c r="F63" s="421" t="s">
        <v>393</v>
      </c>
      <c r="G63" s="433">
        <f>D63*E63*1.52</f>
        <v>56.065099850239996</v>
      </c>
    </row>
    <row r="64" spans="1:7" ht="28.5" x14ac:dyDescent="0.2">
      <c r="A64" s="432" t="s">
        <v>180</v>
      </c>
      <c r="B64" s="421" t="s">
        <v>5</v>
      </c>
      <c r="C64" s="422" t="s">
        <v>174</v>
      </c>
      <c r="D64" s="423">
        <v>0.65162070000000005</v>
      </c>
      <c r="E64" s="421">
        <v>21.24</v>
      </c>
      <c r="F64" s="421" t="s">
        <v>393</v>
      </c>
      <c r="G64" s="433">
        <f>D64*E64*1.52</f>
        <v>21.037443975359999</v>
      </c>
    </row>
    <row r="65" spans="1:7" ht="12.75" customHeight="1" x14ac:dyDescent="0.2">
      <c r="A65" s="426" t="s">
        <v>181</v>
      </c>
      <c r="B65" s="421" t="s">
        <v>167</v>
      </c>
      <c r="C65" s="422" t="s">
        <v>175</v>
      </c>
      <c r="D65" s="423">
        <v>2.00964E-2</v>
      </c>
      <c r="E65" s="421">
        <v>13.46</v>
      </c>
      <c r="F65" s="421" t="s">
        <v>390</v>
      </c>
      <c r="G65" s="433">
        <f>D65*E65</f>
        <v>0.27049754400000003</v>
      </c>
    </row>
    <row r="66" spans="1:7" ht="12.75" customHeight="1" x14ac:dyDescent="0.25">
      <c r="A66" s="639" t="s">
        <v>182</v>
      </c>
      <c r="B66" s="639"/>
      <c r="C66" s="639"/>
      <c r="D66" s="639"/>
      <c r="E66" s="639"/>
      <c r="F66" s="639"/>
      <c r="G66" s="435">
        <f>SUM(G58:G65)</f>
        <v>124.53257279063999</v>
      </c>
    </row>
    <row r="67" spans="1:7" ht="12.75" customHeight="1" x14ac:dyDescent="0.25">
      <c r="A67" s="640"/>
      <c r="B67" s="640"/>
      <c r="C67" s="640"/>
      <c r="D67" s="640"/>
      <c r="E67" s="640"/>
      <c r="F67" s="640"/>
      <c r="G67" s="640"/>
    </row>
    <row r="68" spans="1:7" ht="12.75" customHeight="1" x14ac:dyDescent="0.25">
      <c r="A68" s="647" t="s">
        <v>63</v>
      </c>
      <c r="B68" s="647"/>
      <c r="C68" s="647"/>
      <c r="D68" s="642" t="s">
        <v>394</v>
      </c>
      <c r="E68" s="642"/>
      <c r="F68" s="642"/>
      <c r="G68" s="642"/>
    </row>
    <row r="69" spans="1:7" ht="12.75" customHeight="1" x14ac:dyDescent="0.25">
      <c r="A69" s="419" t="s">
        <v>64</v>
      </c>
      <c r="B69" s="419" t="s">
        <v>65</v>
      </c>
      <c r="C69" s="419" t="s">
        <v>66</v>
      </c>
      <c r="D69" s="642"/>
      <c r="E69" s="642"/>
      <c r="F69" s="642"/>
      <c r="G69" s="642"/>
    </row>
    <row r="70" spans="1:7" ht="12.75" customHeight="1" x14ac:dyDescent="0.25">
      <c r="A70" s="429" t="s">
        <v>67</v>
      </c>
      <c r="B70" s="430"/>
      <c r="C70" s="431">
        <f>G55</f>
        <v>1.7200000000000002</v>
      </c>
      <c r="D70" s="642"/>
      <c r="E70" s="642"/>
      <c r="F70" s="642"/>
      <c r="G70" s="642"/>
    </row>
    <row r="71" spans="1:7" ht="12.75" customHeight="1" x14ac:dyDescent="0.25">
      <c r="A71" s="429" t="s">
        <v>68</v>
      </c>
      <c r="B71" s="431"/>
      <c r="C71" s="431">
        <f>G66</f>
        <v>124.53257279063999</v>
      </c>
      <c r="D71" s="642"/>
      <c r="E71" s="642"/>
      <c r="F71" s="642"/>
      <c r="G71" s="642"/>
    </row>
    <row r="72" spans="1:7" ht="12.75" customHeight="1" x14ac:dyDescent="0.25">
      <c r="A72" s="429" t="s">
        <v>69</v>
      </c>
      <c r="B72" s="429"/>
      <c r="C72" s="431">
        <v>0</v>
      </c>
      <c r="D72" s="642"/>
      <c r="E72" s="642"/>
      <c r="F72" s="642"/>
      <c r="G72" s="642"/>
    </row>
    <row r="73" spans="1:7" ht="12.75" customHeight="1" x14ac:dyDescent="0.25">
      <c r="A73" s="429" t="s">
        <v>70</v>
      </c>
      <c r="B73" s="429"/>
      <c r="C73" s="431">
        <v>1</v>
      </c>
      <c r="D73" s="642"/>
      <c r="E73" s="642"/>
      <c r="F73" s="642"/>
      <c r="G73" s="642"/>
    </row>
    <row r="74" spans="1:7" ht="12.75" customHeight="1" x14ac:dyDescent="0.25">
      <c r="A74" s="429" t="s">
        <v>71</v>
      </c>
      <c r="B74" s="429"/>
      <c r="C74" s="431">
        <f>C70+C72</f>
        <v>1.7200000000000002</v>
      </c>
      <c r="D74" s="642"/>
      <c r="E74" s="642"/>
      <c r="F74" s="642"/>
      <c r="G74" s="642"/>
    </row>
    <row r="75" spans="1:7" ht="12.75" customHeight="1" x14ac:dyDescent="0.25">
      <c r="A75" s="429" t="s">
        <v>72</v>
      </c>
      <c r="B75" s="429"/>
      <c r="C75" s="431">
        <f>(C70+C72)/C73</f>
        <v>1.7200000000000002</v>
      </c>
      <c r="D75" s="642"/>
      <c r="E75" s="642"/>
      <c r="F75" s="642"/>
      <c r="G75" s="642"/>
    </row>
    <row r="76" spans="1:7" ht="12.75" customHeight="1" x14ac:dyDescent="0.25">
      <c r="A76" s="429" t="s">
        <v>73</v>
      </c>
      <c r="B76" s="429"/>
      <c r="C76" s="431">
        <f>C71+C75</f>
        <v>126.25257279063999</v>
      </c>
      <c r="D76" s="642"/>
      <c r="E76" s="642"/>
      <c r="F76" s="642"/>
      <c r="G76" s="642"/>
    </row>
    <row r="77" spans="1:7" ht="12.75" customHeight="1" x14ac:dyDescent="0.25">
      <c r="A77" s="429" t="s">
        <v>74</v>
      </c>
      <c r="B77" s="430">
        <v>0.2631</v>
      </c>
      <c r="C77" s="431">
        <f>C76*B77</f>
        <v>33.217051901217381</v>
      </c>
      <c r="D77" s="642"/>
      <c r="E77" s="642"/>
      <c r="F77" s="642"/>
      <c r="G77" s="642"/>
    </row>
    <row r="78" spans="1:7" ht="12.75" customHeight="1" x14ac:dyDescent="0.25">
      <c r="A78" s="429" t="s">
        <v>75</v>
      </c>
      <c r="B78" s="643">
        <f>C76+C77</f>
        <v>159.46962469185738</v>
      </c>
      <c r="C78" s="643"/>
      <c r="D78" s="642"/>
      <c r="E78" s="642"/>
      <c r="F78" s="642"/>
      <c r="G78" s="642"/>
    </row>
    <row r="79" spans="1:7" ht="12.75" customHeight="1" x14ac:dyDescent="0.2">
      <c r="A79" s="645"/>
      <c r="B79" s="645"/>
      <c r="C79" s="645"/>
      <c r="D79" s="645"/>
      <c r="E79" s="645"/>
      <c r="F79" s="645"/>
      <c r="G79" s="645"/>
    </row>
    <row r="80" spans="1:7" ht="12.75" customHeight="1" x14ac:dyDescent="0.2">
      <c r="A80" s="634" t="s">
        <v>313</v>
      </c>
      <c r="B80" s="635"/>
      <c r="C80" s="635"/>
      <c r="D80" s="636"/>
      <c r="E80" s="637" t="s">
        <v>162</v>
      </c>
      <c r="F80" s="638"/>
      <c r="G80" s="60" t="s">
        <v>4</v>
      </c>
    </row>
    <row r="81" spans="1:7" ht="12.75" customHeight="1" x14ac:dyDescent="0.25">
      <c r="A81" s="419" t="s">
        <v>385</v>
      </c>
      <c r="B81" s="419" t="s">
        <v>56</v>
      </c>
      <c r="C81" s="419" t="s">
        <v>57</v>
      </c>
      <c r="D81" s="419" t="s">
        <v>36</v>
      </c>
      <c r="E81" s="419" t="s">
        <v>58</v>
      </c>
      <c r="F81" s="419" t="s">
        <v>389</v>
      </c>
      <c r="G81" s="419" t="s">
        <v>59</v>
      </c>
    </row>
    <row r="82" spans="1:7" ht="12.75" customHeight="1" x14ac:dyDescent="0.2">
      <c r="A82" s="420" t="s">
        <v>205</v>
      </c>
      <c r="B82" s="421" t="s">
        <v>60</v>
      </c>
      <c r="C82" s="436">
        <v>88248</v>
      </c>
      <c r="D82" s="423">
        <v>7.7</v>
      </c>
      <c r="E82" s="424">
        <v>14.37</v>
      </c>
      <c r="F82" s="424" t="s">
        <v>390</v>
      </c>
      <c r="G82" s="424">
        <f>ROUND(E82*D82,2)</f>
        <v>110.65</v>
      </c>
    </row>
    <row r="83" spans="1:7" ht="12.75" customHeight="1" x14ac:dyDescent="0.2">
      <c r="A83" s="426" t="s">
        <v>193</v>
      </c>
      <c r="B83" s="421" t="s">
        <v>60</v>
      </c>
      <c r="C83" s="436">
        <v>88267</v>
      </c>
      <c r="D83" s="423">
        <v>7.7</v>
      </c>
      <c r="E83" s="424">
        <v>18.41</v>
      </c>
      <c r="F83" s="424" t="s">
        <v>390</v>
      </c>
      <c r="G83" s="424">
        <f>ROUND(E83*D83,2)</f>
        <v>141.76</v>
      </c>
    </row>
    <row r="84" spans="1:7" ht="12.75" customHeight="1" x14ac:dyDescent="0.25">
      <c r="A84" s="639" t="s">
        <v>61</v>
      </c>
      <c r="B84" s="639"/>
      <c r="C84" s="639"/>
      <c r="D84" s="639"/>
      <c r="E84" s="639"/>
      <c r="F84" s="639"/>
      <c r="G84" s="424">
        <f>SUM(G82:G83)</f>
        <v>252.41</v>
      </c>
    </row>
    <row r="85" spans="1:7" ht="12.75" customHeight="1" x14ac:dyDescent="0.25">
      <c r="A85" s="640"/>
      <c r="B85" s="640"/>
      <c r="C85" s="640"/>
      <c r="D85" s="640"/>
      <c r="E85" s="640"/>
      <c r="F85" s="640"/>
      <c r="G85" s="640"/>
    </row>
    <row r="86" spans="1:7" ht="12.75" customHeight="1" x14ac:dyDescent="0.25">
      <c r="A86" s="419" t="s">
        <v>62</v>
      </c>
      <c r="B86" s="419" t="s">
        <v>56</v>
      </c>
      <c r="C86" s="419" t="s">
        <v>57</v>
      </c>
      <c r="D86" s="419" t="s">
        <v>36</v>
      </c>
      <c r="E86" s="419" t="s">
        <v>58</v>
      </c>
      <c r="F86" s="419" t="s">
        <v>389</v>
      </c>
      <c r="G86" s="419" t="s">
        <v>59</v>
      </c>
    </row>
    <row r="87" spans="1:7" ht="24.75" customHeight="1" x14ac:dyDescent="0.2">
      <c r="A87" s="437" t="s">
        <v>195</v>
      </c>
      <c r="B87" s="421" t="s">
        <v>4</v>
      </c>
      <c r="C87" s="438" t="s">
        <v>398</v>
      </c>
      <c r="D87" s="423">
        <v>1</v>
      </c>
      <c r="E87" s="421">
        <v>8.8699999999999992</v>
      </c>
      <c r="F87" s="421" t="s">
        <v>390</v>
      </c>
      <c r="G87" s="427">
        <f t="shared" ref="G87:G98" si="0">E87*D87</f>
        <v>8.8699999999999992</v>
      </c>
    </row>
    <row r="88" spans="1:7" ht="26.25" customHeight="1" x14ac:dyDescent="0.2">
      <c r="A88" s="437" t="s">
        <v>194</v>
      </c>
      <c r="B88" s="421" t="s">
        <v>4</v>
      </c>
      <c r="C88" s="439" t="s">
        <v>399</v>
      </c>
      <c r="D88" s="423">
        <v>2</v>
      </c>
      <c r="E88" s="421">
        <v>15.23</v>
      </c>
      <c r="F88" s="421" t="s">
        <v>390</v>
      </c>
      <c r="G88" s="427">
        <f t="shared" si="0"/>
        <v>30.46</v>
      </c>
    </row>
    <row r="89" spans="1:7" ht="25.5" customHeight="1" x14ac:dyDescent="0.2">
      <c r="A89" s="437" t="s">
        <v>196</v>
      </c>
      <c r="B89" s="421" t="s">
        <v>4</v>
      </c>
      <c r="C89" s="438" t="s">
        <v>400</v>
      </c>
      <c r="D89" s="423">
        <v>1</v>
      </c>
      <c r="E89" s="421">
        <v>13.98</v>
      </c>
      <c r="F89" s="421" t="s">
        <v>390</v>
      </c>
      <c r="G89" s="427">
        <f t="shared" si="0"/>
        <v>13.98</v>
      </c>
    </row>
    <row r="90" spans="1:7" ht="12.75" customHeight="1" x14ac:dyDescent="0.2">
      <c r="A90" s="440" t="s">
        <v>197</v>
      </c>
      <c r="B90" s="421" t="s">
        <v>4</v>
      </c>
      <c r="C90" s="438" t="s">
        <v>401</v>
      </c>
      <c r="D90" s="423">
        <v>0.4</v>
      </c>
      <c r="E90" s="424">
        <v>5.9</v>
      </c>
      <c r="F90" s="424" t="s">
        <v>390</v>
      </c>
      <c r="G90" s="427">
        <f t="shared" si="0"/>
        <v>2.3600000000000003</v>
      </c>
    </row>
    <row r="91" spans="1:7" ht="12.75" customHeight="1" x14ac:dyDescent="0.2">
      <c r="A91" s="440" t="s">
        <v>198</v>
      </c>
      <c r="B91" s="421" t="s">
        <v>4</v>
      </c>
      <c r="C91" s="438" t="s">
        <v>402</v>
      </c>
      <c r="D91" s="423">
        <v>0.3</v>
      </c>
      <c r="E91" s="424">
        <v>3.6</v>
      </c>
      <c r="F91" s="424" t="s">
        <v>390</v>
      </c>
      <c r="G91" s="427">
        <f t="shared" si="0"/>
        <v>1.08</v>
      </c>
    </row>
    <row r="92" spans="1:7" ht="28.5" x14ac:dyDescent="0.2">
      <c r="A92" s="437" t="s">
        <v>199</v>
      </c>
      <c r="B92" s="421" t="s">
        <v>4</v>
      </c>
      <c r="C92" s="438" t="s">
        <v>403</v>
      </c>
      <c r="D92" s="423">
        <v>1</v>
      </c>
      <c r="E92" s="421">
        <v>1.73</v>
      </c>
      <c r="F92" s="421" t="s">
        <v>390</v>
      </c>
      <c r="G92" s="427">
        <f t="shared" si="0"/>
        <v>1.73</v>
      </c>
    </row>
    <row r="93" spans="1:7" ht="24.75" customHeight="1" x14ac:dyDescent="0.2">
      <c r="A93" s="437" t="s">
        <v>200</v>
      </c>
      <c r="B93" s="421" t="s">
        <v>4</v>
      </c>
      <c r="C93" s="439" t="s">
        <v>404</v>
      </c>
      <c r="D93" s="423">
        <v>1</v>
      </c>
      <c r="E93" s="421">
        <v>3.28</v>
      </c>
      <c r="F93" s="421" t="s">
        <v>390</v>
      </c>
      <c r="G93" s="427">
        <f t="shared" si="0"/>
        <v>3.28</v>
      </c>
    </row>
    <row r="94" spans="1:7" ht="12.75" customHeight="1" x14ac:dyDescent="0.2">
      <c r="A94" s="440" t="s">
        <v>201</v>
      </c>
      <c r="B94" s="421" t="s">
        <v>5</v>
      </c>
      <c r="C94" s="439" t="s">
        <v>405</v>
      </c>
      <c r="D94" s="423">
        <v>1.5</v>
      </c>
      <c r="E94" s="421">
        <v>2.95</v>
      </c>
      <c r="F94" s="421" t="s">
        <v>390</v>
      </c>
      <c r="G94" s="427">
        <f t="shared" si="0"/>
        <v>4.4250000000000007</v>
      </c>
    </row>
    <row r="95" spans="1:7" ht="12.75" customHeight="1" x14ac:dyDescent="0.2">
      <c r="A95" s="440" t="s">
        <v>202</v>
      </c>
      <c r="B95" s="421" t="s">
        <v>5</v>
      </c>
      <c r="C95" s="439" t="s">
        <v>406</v>
      </c>
      <c r="D95" s="423">
        <v>2</v>
      </c>
      <c r="E95" s="421">
        <v>6.62</v>
      </c>
      <c r="F95" s="421" t="s">
        <v>390</v>
      </c>
      <c r="G95" s="427">
        <f t="shared" si="0"/>
        <v>13.24</v>
      </c>
    </row>
    <row r="96" spans="1:7" ht="27" customHeight="1" x14ac:dyDescent="0.2">
      <c r="A96" s="437" t="s">
        <v>203</v>
      </c>
      <c r="B96" s="421" t="s">
        <v>4</v>
      </c>
      <c r="C96" s="439" t="s">
        <v>407</v>
      </c>
      <c r="D96" s="423">
        <v>1</v>
      </c>
      <c r="E96" s="421">
        <v>33.07</v>
      </c>
      <c r="F96" s="421" t="s">
        <v>390</v>
      </c>
      <c r="G96" s="427">
        <f t="shared" si="0"/>
        <v>33.07</v>
      </c>
    </row>
    <row r="97" spans="1:7" ht="26.25" customHeight="1" x14ac:dyDescent="0.2">
      <c r="A97" s="441" t="s">
        <v>204</v>
      </c>
      <c r="B97" s="421" t="s">
        <v>4</v>
      </c>
      <c r="C97" s="439" t="s">
        <v>408</v>
      </c>
      <c r="D97" s="423">
        <v>1</v>
      </c>
      <c r="E97" s="424">
        <v>12.99</v>
      </c>
      <c r="F97" s="424" t="s">
        <v>390</v>
      </c>
      <c r="G97" s="427">
        <f t="shared" si="0"/>
        <v>12.99</v>
      </c>
    </row>
    <row r="98" spans="1:7" ht="12.75" customHeight="1" x14ac:dyDescent="0.2">
      <c r="A98" s="426" t="s">
        <v>206</v>
      </c>
      <c r="B98" s="421" t="s">
        <v>4</v>
      </c>
      <c r="C98" s="439" t="s">
        <v>409</v>
      </c>
      <c r="D98" s="423">
        <v>1</v>
      </c>
      <c r="E98" s="424">
        <v>684.4</v>
      </c>
      <c r="F98" s="424" t="s">
        <v>390</v>
      </c>
      <c r="G98" s="427">
        <f t="shared" si="0"/>
        <v>684.4</v>
      </c>
    </row>
    <row r="99" spans="1:7" ht="12.75" customHeight="1" x14ac:dyDescent="0.25">
      <c r="A99" s="639" t="s">
        <v>61</v>
      </c>
      <c r="B99" s="639"/>
      <c r="C99" s="639"/>
      <c r="D99" s="639"/>
      <c r="E99" s="639"/>
      <c r="F99" s="639"/>
      <c r="G99" s="428">
        <f>SUM(G87:G98)</f>
        <v>809.88499999999999</v>
      </c>
    </row>
    <row r="100" spans="1:7" ht="12.75" customHeight="1" x14ac:dyDescent="0.2">
      <c r="A100" s="645"/>
      <c r="B100" s="645"/>
      <c r="C100" s="645"/>
      <c r="D100" s="645"/>
      <c r="E100" s="645"/>
      <c r="F100" s="645"/>
      <c r="G100" s="645"/>
    </row>
    <row r="101" spans="1:7" ht="12.75" customHeight="1" x14ac:dyDescent="0.25">
      <c r="A101" s="647" t="s">
        <v>63</v>
      </c>
      <c r="B101" s="647"/>
      <c r="C101" s="647"/>
      <c r="D101" s="647"/>
      <c r="E101" s="647"/>
      <c r="F101" s="647"/>
      <c r="G101" s="647"/>
    </row>
    <row r="102" spans="1:7" ht="12.75" customHeight="1" x14ac:dyDescent="0.25">
      <c r="A102" s="419" t="s">
        <v>64</v>
      </c>
      <c r="B102" s="419" t="s">
        <v>65</v>
      </c>
      <c r="C102" s="419" t="s">
        <v>66</v>
      </c>
      <c r="D102" s="642" t="s">
        <v>397</v>
      </c>
      <c r="E102" s="642"/>
      <c r="F102" s="642"/>
      <c r="G102" s="642"/>
    </row>
    <row r="103" spans="1:7" ht="12.75" customHeight="1" x14ac:dyDescent="0.25">
      <c r="A103" s="429" t="s">
        <v>67</v>
      </c>
      <c r="B103" s="430"/>
      <c r="C103" s="431">
        <f>G84</f>
        <v>252.41</v>
      </c>
      <c r="D103" s="642"/>
      <c r="E103" s="642"/>
      <c r="F103" s="642"/>
      <c r="G103" s="642"/>
    </row>
    <row r="104" spans="1:7" ht="12.75" customHeight="1" x14ac:dyDescent="0.25">
      <c r="A104" s="429" t="s">
        <v>68</v>
      </c>
      <c r="B104" s="431"/>
      <c r="C104" s="431">
        <f>G99</f>
        <v>809.88499999999999</v>
      </c>
      <c r="D104" s="642"/>
      <c r="E104" s="642"/>
      <c r="F104" s="642"/>
      <c r="G104" s="642"/>
    </row>
    <row r="105" spans="1:7" ht="12.75" customHeight="1" x14ac:dyDescent="0.25">
      <c r="A105" s="429" t="s">
        <v>69</v>
      </c>
      <c r="B105" s="429"/>
      <c r="C105" s="431">
        <v>0</v>
      </c>
      <c r="D105" s="642"/>
      <c r="E105" s="642"/>
      <c r="F105" s="642"/>
      <c r="G105" s="642"/>
    </row>
    <row r="106" spans="1:7" ht="12.75" customHeight="1" x14ac:dyDescent="0.25">
      <c r="A106" s="429" t="s">
        <v>70</v>
      </c>
      <c r="B106" s="429"/>
      <c r="C106" s="431">
        <v>1</v>
      </c>
      <c r="D106" s="642"/>
      <c r="E106" s="642"/>
      <c r="F106" s="642"/>
      <c r="G106" s="642"/>
    </row>
    <row r="107" spans="1:7" ht="12.75" customHeight="1" x14ac:dyDescent="0.25">
      <c r="A107" s="429" t="s">
        <v>71</v>
      </c>
      <c r="B107" s="429"/>
      <c r="C107" s="431">
        <f>C103+C105</f>
        <v>252.41</v>
      </c>
      <c r="D107" s="642"/>
      <c r="E107" s="642"/>
      <c r="F107" s="642"/>
      <c r="G107" s="642"/>
    </row>
    <row r="108" spans="1:7" ht="12.75" customHeight="1" x14ac:dyDescent="0.25">
      <c r="A108" s="429" t="s">
        <v>72</v>
      </c>
      <c r="B108" s="429"/>
      <c r="C108" s="431">
        <f>(C103+C105)/C106</f>
        <v>252.41</v>
      </c>
      <c r="D108" s="642"/>
      <c r="E108" s="642"/>
      <c r="F108" s="642"/>
      <c r="G108" s="642"/>
    </row>
    <row r="109" spans="1:7" ht="12.75" customHeight="1" x14ac:dyDescent="0.25">
      <c r="A109" s="429" t="s">
        <v>73</v>
      </c>
      <c r="B109" s="429"/>
      <c r="C109" s="431">
        <f>C104+C108</f>
        <v>1062.2950000000001</v>
      </c>
      <c r="D109" s="642"/>
      <c r="E109" s="642"/>
      <c r="F109" s="642"/>
      <c r="G109" s="642"/>
    </row>
    <row r="110" spans="1:7" ht="12.75" customHeight="1" x14ac:dyDescent="0.25">
      <c r="A110" s="429" t="s">
        <v>74</v>
      </c>
      <c r="B110" s="430">
        <v>0.2631</v>
      </c>
      <c r="C110" s="431">
        <f>C109*B110</f>
        <v>279.48981450000002</v>
      </c>
      <c r="D110" s="642"/>
      <c r="E110" s="642"/>
      <c r="F110" s="642"/>
      <c r="G110" s="642"/>
    </row>
    <row r="111" spans="1:7" ht="12.75" customHeight="1" x14ac:dyDescent="0.25">
      <c r="A111" s="429" t="s">
        <v>75</v>
      </c>
      <c r="B111" s="649">
        <f>C109+C110</f>
        <v>1341.7848145</v>
      </c>
      <c r="C111" s="649"/>
      <c r="D111" s="642"/>
      <c r="E111" s="642"/>
      <c r="F111" s="642"/>
      <c r="G111" s="642"/>
    </row>
    <row r="112" spans="1:7" ht="12.75" customHeight="1" x14ac:dyDescent="0.2">
      <c r="A112" s="645"/>
      <c r="B112" s="645"/>
      <c r="C112" s="645"/>
      <c r="D112" s="645"/>
      <c r="E112" s="645"/>
      <c r="F112" s="645"/>
      <c r="G112" s="645"/>
    </row>
    <row r="113" spans="1:7" ht="27" customHeight="1" x14ac:dyDescent="0.2">
      <c r="A113" s="634" t="s">
        <v>411</v>
      </c>
      <c r="B113" s="635"/>
      <c r="C113" s="635"/>
      <c r="D113" s="636"/>
      <c r="E113" s="637" t="s">
        <v>192</v>
      </c>
      <c r="F113" s="638"/>
      <c r="G113" s="60" t="s">
        <v>5</v>
      </c>
    </row>
    <row r="114" spans="1:7" ht="12.75" customHeight="1" x14ac:dyDescent="0.25">
      <c r="A114" s="419" t="s">
        <v>385</v>
      </c>
      <c r="B114" s="419" t="s">
        <v>56</v>
      </c>
      <c r="C114" s="419" t="s">
        <v>57</v>
      </c>
      <c r="D114" s="419" t="s">
        <v>36</v>
      </c>
      <c r="E114" s="419" t="s">
        <v>58</v>
      </c>
      <c r="F114" s="419" t="s">
        <v>389</v>
      </c>
      <c r="G114" s="419" t="s">
        <v>59</v>
      </c>
    </row>
    <row r="115" spans="1:7" ht="12.75" customHeight="1" x14ac:dyDescent="0.2">
      <c r="A115" s="420" t="s">
        <v>423</v>
      </c>
      <c r="B115" s="421" t="s">
        <v>60</v>
      </c>
      <c r="C115" s="436">
        <v>88316</v>
      </c>
      <c r="D115" s="442">
        <v>7.2999999999999995E-2</v>
      </c>
      <c r="E115" s="424">
        <v>14.21</v>
      </c>
      <c r="F115" s="424" t="s">
        <v>390</v>
      </c>
      <c r="G115" s="424">
        <f>PRODUCT(D115,E115)</f>
        <v>1.0373300000000001</v>
      </c>
    </row>
    <row r="116" spans="1:7" ht="12.75" customHeight="1" x14ac:dyDescent="0.2">
      <c r="A116" s="426" t="s">
        <v>424</v>
      </c>
      <c r="B116" s="421" t="s">
        <v>60</v>
      </c>
      <c r="C116" s="436">
        <v>88323</v>
      </c>
      <c r="D116" s="442">
        <v>0.06</v>
      </c>
      <c r="E116" s="424">
        <v>18.05</v>
      </c>
      <c r="F116" s="424" t="s">
        <v>390</v>
      </c>
      <c r="G116" s="424">
        <f>PRODUCT(D116,E116)</f>
        <v>1.083</v>
      </c>
    </row>
    <row r="117" spans="1:7" ht="12.75" customHeight="1" x14ac:dyDescent="0.25">
      <c r="A117" s="639" t="s">
        <v>61</v>
      </c>
      <c r="B117" s="639"/>
      <c r="C117" s="639"/>
      <c r="D117" s="639"/>
      <c r="E117" s="639"/>
      <c r="F117" s="639"/>
      <c r="G117" s="424">
        <f>SUM(G115:G116)</f>
        <v>2.12033</v>
      </c>
    </row>
    <row r="118" spans="1:7" ht="12.75" customHeight="1" x14ac:dyDescent="0.25">
      <c r="A118" s="640"/>
      <c r="B118" s="640"/>
      <c r="C118" s="640"/>
      <c r="D118" s="640"/>
      <c r="E118" s="640"/>
      <c r="F118" s="640"/>
      <c r="G118" s="640"/>
    </row>
    <row r="119" spans="1:7" ht="12.75" customHeight="1" x14ac:dyDescent="0.25">
      <c r="A119" s="419" t="s">
        <v>62</v>
      </c>
      <c r="B119" s="419" t="s">
        <v>56</v>
      </c>
      <c r="C119" s="419" t="s">
        <v>57</v>
      </c>
      <c r="D119" s="419" t="s">
        <v>36</v>
      </c>
      <c r="E119" s="419" t="s">
        <v>58</v>
      </c>
      <c r="F119" s="419" t="s">
        <v>389</v>
      </c>
      <c r="G119" s="419" t="s">
        <v>59</v>
      </c>
    </row>
    <row r="120" spans="1:7" ht="42.75" x14ac:dyDescent="0.2">
      <c r="A120" s="443" t="s">
        <v>412</v>
      </c>
      <c r="B120" s="421" t="s">
        <v>4</v>
      </c>
      <c r="C120" s="444" t="s">
        <v>413</v>
      </c>
      <c r="D120" s="423">
        <v>4.2</v>
      </c>
      <c r="E120" s="421">
        <v>0.17</v>
      </c>
      <c r="F120" s="421" t="s">
        <v>390</v>
      </c>
      <c r="G120" s="424">
        <f>E120*D120</f>
        <v>0.71400000000000008</v>
      </c>
    </row>
    <row r="121" spans="1:7" ht="42.75" x14ac:dyDescent="0.2">
      <c r="A121" s="443" t="s">
        <v>414</v>
      </c>
      <c r="B121" s="421" t="s">
        <v>4</v>
      </c>
      <c r="C121" s="444" t="s">
        <v>415</v>
      </c>
      <c r="D121" s="423">
        <v>4.2</v>
      </c>
      <c r="E121" s="421">
        <v>2.57</v>
      </c>
      <c r="F121" s="421" t="s">
        <v>390</v>
      </c>
      <c r="G121" s="424">
        <f t="shared" ref="G121:G127" si="1">E121*D121</f>
        <v>10.794</v>
      </c>
    </row>
    <row r="122" spans="1:7" ht="28.5" x14ac:dyDescent="0.2">
      <c r="A122" s="432" t="s">
        <v>213</v>
      </c>
      <c r="B122" s="421" t="s">
        <v>6</v>
      </c>
      <c r="C122" s="438" t="s">
        <v>410</v>
      </c>
      <c r="D122" s="423">
        <v>0.82499999999999996</v>
      </c>
      <c r="E122" s="424">
        <v>80.5</v>
      </c>
      <c r="F122" s="424" t="s">
        <v>390</v>
      </c>
      <c r="G122" s="427">
        <f>PRODUCT(D122,E122)</f>
        <v>66.412499999999994</v>
      </c>
    </row>
    <row r="123" spans="1:7" ht="12.75" customHeight="1" x14ac:dyDescent="0.25">
      <c r="A123" s="639" t="s">
        <v>61</v>
      </c>
      <c r="B123" s="639"/>
      <c r="C123" s="639"/>
      <c r="D123" s="639"/>
      <c r="E123" s="639"/>
      <c r="F123" s="639"/>
      <c r="G123" s="428">
        <f>SUM(G120:G122)</f>
        <v>77.92049999999999</v>
      </c>
    </row>
    <row r="124" spans="1:7" ht="12.75" customHeight="1" x14ac:dyDescent="0.2">
      <c r="A124" s="650"/>
      <c r="B124" s="650"/>
      <c r="C124" s="650"/>
      <c r="D124" s="650"/>
      <c r="E124" s="650"/>
      <c r="F124" s="650"/>
      <c r="G124" s="650"/>
    </row>
    <row r="125" spans="1:7" ht="12.75" customHeight="1" x14ac:dyDescent="0.25">
      <c r="A125" s="419" t="s">
        <v>416</v>
      </c>
      <c r="B125" s="419" t="s">
        <v>56</v>
      </c>
      <c r="C125" s="419" t="s">
        <v>57</v>
      </c>
      <c r="D125" s="419" t="s">
        <v>36</v>
      </c>
      <c r="E125" s="419" t="s">
        <v>58</v>
      </c>
      <c r="F125" s="419" t="s">
        <v>389</v>
      </c>
      <c r="G125" s="419" t="s">
        <v>59</v>
      </c>
    </row>
    <row r="126" spans="1:7" ht="42.75" x14ac:dyDescent="0.2">
      <c r="A126" s="443" t="s">
        <v>417</v>
      </c>
      <c r="B126" s="421" t="s">
        <v>419</v>
      </c>
      <c r="C126" s="444" t="s">
        <v>418</v>
      </c>
      <c r="D126" s="446">
        <v>1.8E-3</v>
      </c>
      <c r="E126" s="421">
        <v>20.82</v>
      </c>
      <c r="F126" s="421" t="s">
        <v>390</v>
      </c>
      <c r="G126" s="424">
        <f t="shared" si="1"/>
        <v>3.7476000000000002E-2</v>
      </c>
    </row>
    <row r="127" spans="1:7" ht="42.75" x14ac:dyDescent="0.2">
      <c r="A127" s="443" t="s">
        <v>421</v>
      </c>
      <c r="B127" s="421" t="s">
        <v>420</v>
      </c>
      <c r="C127" s="444" t="s">
        <v>422</v>
      </c>
      <c r="D127" s="423">
        <v>2.5999999999999999E-3</v>
      </c>
      <c r="E127" s="421">
        <v>19.920000000000002</v>
      </c>
      <c r="F127" s="421" t="s">
        <v>390</v>
      </c>
      <c r="G127" s="424">
        <f t="shared" si="1"/>
        <v>5.1792000000000005E-2</v>
      </c>
    </row>
    <row r="128" spans="1:7" ht="12.75" customHeight="1" x14ac:dyDescent="0.25">
      <c r="A128" s="639" t="s">
        <v>61</v>
      </c>
      <c r="B128" s="639"/>
      <c r="C128" s="639"/>
      <c r="D128" s="639"/>
      <c r="E128" s="639"/>
      <c r="F128" s="639"/>
      <c r="G128" s="428">
        <f>SUM(G126:G127)</f>
        <v>8.9268000000000014E-2</v>
      </c>
    </row>
    <row r="129" spans="1:7" ht="12.75" customHeight="1" x14ac:dyDescent="0.2">
      <c r="A129" s="645"/>
      <c r="B129" s="645"/>
      <c r="C129" s="645"/>
      <c r="D129" s="645"/>
      <c r="E129" s="645"/>
      <c r="F129" s="645"/>
      <c r="G129" s="645"/>
    </row>
    <row r="130" spans="1:7" ht="12.75" customHeight="1" x14ac:dyDescent="0.25">
      <c r="A130" s="647" t="s">
        <v>63</v>
      </c>
      <c r="B130" s="647"/>
      <c r="C130" s="647"/>
      <c r="D130" s="647"/>
      <c r="E130" s="647"/>
      <c r="F130" s="647"/>
      <c r="G130" s="647"/>
    </row>
    <row r="131" spans="1:7" ht="12.75" customHeight="1" x14ac:dyDescent="0.25">
      <c r="A131" s="419" t="s">
        <v>64</v>
      </c>
      <c r="B131" s="419" t="s">
        <v>65</v>
      </c>
      <c r="C131" s="419" t="s">
        <v>66</v>
      </c>
      <c r="D131" s="642" t="s">
        <v>425</v>
      </c>
      <c r="E131" s="642"/>
      <c r="F131" s="642"/>
      <c r="G131" s="642"/>
    </row>
    <row r="132" spans="1:7" ht="12.75" customHeight="1" x14ac:dyDescent="0.25">
      <c r="A132" s="429" t="s">
        <v>67</v>
      </c>
      <c r="B132" s="430"/>
      <c r="C132" s="431">
        <f>G117</f>
        <v>2.12033</v>
      </c>
      <c r="D132" s="642"/>
      <c r="E132" s="642"/>
      <c r="F132" s="642"/>
      <c r="G132" s="642"/>
    </row>
    <row r="133" spans="1:7" ht="12.75" customHeight="1" x14ac:dyDescent="0.25">
      <c r="A133" s="429" t="s">
        <v>68</v>
      </c>
      <c r="B133" s="431"/>
      <c r="C133" s="431">
        <f>G123</f>
        <v>77.92049999999999</v>
      </c>
      <c r="D133" s="642"/>
      <c r="E133" s="642"/>
      <c r="F133" s="642"/>
      <c r="G133" s="642"/>
    </row>
    <row r="134" spans="1:7" ht="12.75" customHeight="1" x14ac:dyDescent="0.25">
      <c r="A134" s="429" t="s">
        <v>69</v>
      </c>
      <c r="B134" s="429"/>
      <c r="C134" s="431">
        <f>G128</f>
        <v>8.9268000000000014E-2</v>
      </c>
      <c r="D134" s="642"/>
      <c r="E134" s="642"/>
      <c r="F134" s="642"/>
      <c r="G134" s="642"/>
    </row>
    <row r="135" spans="1:7" ht="12.75" customHeight="1" x14ac:dyDescent="0.25">
      <c r="A135" s="429" t="s">
        <v>70</v>
      </c>
      <c r="B135" s="429"/>
      <c r="C135" s="431">
        <v>1</v>
      </c>
      <c r="D135" s="642"/>
      <c r="E135" s="642"/>
      <c r="F135" s="642"/>
      <c r="G135" s="642"/>
    </row>
    <row r="136" spans="1:7" ht="12.75" customHeight="1" x14ac:dyDescent="0.25">
      <c r="A136" s="429" t="s">
        <v>71</v>
      </c>
      <c r="B136" s="429"/>
      <c r="C136" s="431">
        <f>C132+C134</f>
        <v>2.2095980000000002</v>
      </c>
      <c r="D136" s="642"/>
      <c r="E136" s="642"/>
      <c r="F136" s="642"/>
      <c r="G136" s="642"/>
    </row>
    <row r="137" spans="1:7" ht="12.75" customHeight="1" x14ac:dyDescent="0.25">
      <c r="A137" s="429" t="s">
        <v>72</v>
      </c>
      <c r="B137" s="429"/>
      <c r="C137" s="431">
        <f>(C132+C134)/C135</f>
        <v>2.2095980000000002</v>
      </c>
      <c r="D137" s="642"/>
      <c r="E137" s="642"/>
      <c r="F137" s="642"/>
      <c r="G137" s="642"/>
    </row>
    <row r="138" spans="1:7" ht="12.75" customHeight="1" x14ac:dyDescent="0.25">
      <c r="A138" s="429" t="s">
        <v>73</v>
      </c>
      <c r="B138" s="429"/>
      <c r="C138" s="431">
        <f>C133+C137</f>
        <v>80.13009799999999</v>
      </c>
      <c r="D138" s="642"/>
      <c r="E138" s="642"/>
      <c r="F138" s="642"/>
      <c r="G138" s="642"/>
    </row>
    <row r="139" spans="1:7" ht="12.75" customHeight="1" x14ac:dyDescent="0.25">
      <c r="A139" s="429" t="s">
        <v>74</v>
      </c>
      <c r="B139" s="430">
        <v>0.2631</v>
      </c>
      <c r="C139" s="431">
        <f>C138*B139</f>
        <v>21.082228783799998</v>
      </c>
      <c r="D139" s="642"/>
      <c r="E139" s="642"/>
      <c r="F139" s="642"/>
      <c r="G139" s="642"/>
    </row>
    <row r="140" spans="1:7" ht="12.75" customHeight="1" x14ac:dyDescent="0.25">
      <c r="A140" s="429" t="s">
        <v>75</v>
      </c>
      <c r="B140" s="643">
        <f>C138+C139</f>
        <v>101.21232678379999</v>
      </c>
      <c r="C140" s="643"/>
      <c r="D140" s="642"/>
      <c r="E140" s="642"/>
      <c r="F140" s="642"/>
      <c r="G140" s="642"/>
    </row>
    <row r="141" spans="1:7" ht="12.75" customHeight="1" x14ac:dyDescent="0.2">
      <c r="A141" s="645"/>
      <c r="B141" s="645"/>
      <c r="C141" s="645"/>
      <c r="D141" s="645"/>
      <c r="E141" s="645"/>
      <c r="F141" s="645"/>
      <c r="G141" s="645"/>
    </row>
    <row r="142" spans="1:7" ht="50.25" customHeight="1" x14ac:dyDescent="0.2">
      <c r="A142" s="634" t="s">
        <v>287</v>
      </c>
      <c r="B142" s="635"/>
      <c r="C142" s="635"/>
      <c r="D142" s="636"/>
      <c r="E142" s="637" t="s">
        <v>589</v>
      </c>
      <c r="F142" s="638"/>
      <c r="G142" s="60" t="s">
        <v>4</v>
      </c>
    </row>
    <row r="143" spans="1:7" ht="12.75" customHeight="1" x14ac:dyDescent="0.25">
      <c r="A143" s="419" t="s">
        <v>385</v>
      </c>
      <c r="B143" s="419" t="s">
        <v>56</v>
      </c>
      <c r="C143" s="419" t="s">
        <v>57</v>
      </c>
      <c r="D143" s="419" t="s">
        <v>36</v>
      </c>
      <c r="E143" s="419" t="s">
        <v>58</v>
      </c>
      <c r="F143" s="419" t="s">
        <v>389</v>
      </c>
      <c r="G143" s="419" t="s">
        <v>59</v>
      </c>
    </row>
    <row r="144" spans="1:7" ht="12.75" customHeight="1" x14ac:dyDescent="0.2">
      <c r="A144" s="420" t="s">
        <v>124</v>
      </c>
      <c r="B144" s="421" t="s">
        <v>60</v>
      </c>
      <c r="C144" s="422" t="s">
        <v>123</v>
      </c>
      <c r="D144" s="423">
        <v>1</v>
      </c>
      <c r="E144" s="424">
        <v>12.95</v>
      </c>
      <c r="F144" s="424" t="s">
        <v>390</v>
      </c>
      <c r="G144" s="424">
        <f>PRODUCT(D144,E144)</f>
        <v>12.95</v>
      </c>
    </row>
    <row r="145" spans="1:7" ht="12.75" customHeight="1" x14ac:dyDescent="0.2">
      <c r="A145" s="420" t="s">
        <v>164</v>
      </c>
      <c r="B145" s="421" t="s">
        <v>60</v>
      </c>
      <c r="C145" s="422" t="s">
        <v>165</v>
      </c>
      <c r="D145" s="423">
        <v>1</v>
      </c>
      <c r="E145" s="424">
        <v>15.34</v>
      </c>
      <c r="F145" s="424" t="s">
        <v>390</v>
      </c>
      <c r="G145" s="424">
        <f>PRODUCT(D145,E145)</f>
        <v>15.34</v>
      </c>
    </row>
    <row r="146" spans="1:7" ht="12.75" customHeight="1" x14ac:dyDescent="0.25">
      <c r="A146" s="639" t="s">
        <v>61</v>
      </c>
      <c r="B146" s="639"/>
      <c r="C146" s="639"/>
      <c r="D146" s="639"/>
      <c r="E146" s="639"/>
      <c r="F146" s="639"/>
      <c r="G146" s="424">
        <f>SUM(G144:G145)</f>
        <v>28.29</v>
      </c>
    </row>
    <row r="147" spans="1:7" ht="12.75" customHeight="1" x14ac:dyDescent="0.25">
      <c r="A147" s="640"/>
      <c r="B147" s="640"/>
      <c r="C147" s="640"/>
      <c r="D147" s="640"/>
      <c r="E147" s="640"/>
      <c r="F147" s="640"/>
      <c r="G147" s="640"/>
    </row>
    <row r="148" spans="1:7" ht="12.75" customHeight="1" x14ac:dyDescent="0.25">
      <c r="A148" s="419" t="s">
        <v>62</v>
      </c>
      <c r="B148" s="419" t="s">
        <v>56</v>
      </c>
      <c r="C148" s="419" t="s">
        <v>57</v>
      </c>
      <c r="D148" s="419" t="s">
        <v>36</v>
      </c>
      <c r="E148" s="419" t="s">
        <v>58</v>
      </c>
      <c r="F148" s="419" t="s">
        <v>389</v>
      </c>
      <c r="G148" s="419" t="s">
        <v>59</v>
      </c>
    </row>
    <row r="149" spans="1:7" ht="14.25" x14ac:dyDescent="0.2">
      <c r="A149" s="447" t="s">
        <v>224</v>
      </c>
      <c r="B149" s="421" t="s">
        <v>4</v>
      </c>
      <c r="C149" s="448" t="s">
        <v>226</v>
      </c>
      <c r="D149" s="423">
        <v>2</v>
      </c>
      <c r="E149" s="421">
        <v>149.55000000000001</v>
      </c>
      <c r="F149" s="421" t="s">
        <v>390</v>
      </c>
      <c r="G149" s="424">
        <f t="shared" ref="G149:G156" si="2">PRODUCT(D149,E149)</f>
        <v>299.10000000000002</v>
      </c>
    </row>
    <row r="150" spans="1:7" ht="12.75" customHeight="1" x14ac:dyDescent="0.2">
      <c r="A150" s="434" t="s">
        <v>176</v>
      </c>
      <c r="B150" s="421" t="s">
        <v>167</v>
      </c>
      <c r="C150" s="422" t="s">
        <v>170</v>
      </c>
      <c r="D150" s="423">
        <v>8.5000000000000006E-2</v>
      </c>
      <c r="E150" s="421">
        <v>24.59</v>
      </c>
      <c r="F150" s="449" t="s">
        <v>390</v>
      </c>
      <c r="G150" s="424">
        <f t="shared" si="2"/>
        <v>2.09015</v>
      </c>
    </row>
    <row r="151" spans="1:7" ht="28.5" x14ac:dyDescent="0.2">
      <c r="A151" s="432" t="s">
        <v>177</v>
      </c>
      <c r="B151" s="421" t="s">
        <v>169</v>
      </c>
      <c r="C151" s="422" t="s">
        <v>171</v>
      </c>
      <c r="D151" s="423">
        <v>0.15959999999999999</v>
      </c>
      <c r="E151" s="421">
        <v>2.2400000000000002</v>
      </c>
      <c r="F151" s="449" t="s">
        <v>390</v>
      </c>
      <c r="G151" s="424">
        <f t="shared" si="2"/>
        <v>0.35750399999999999</v>
      </c>
    </row>
    <row r="152" spans="1:7" ht="28.5" x14ac:dyDescent="0.2">
      <c r="A152" s="432" t="s">
        <v>178</v>
      </c>
      <c r="B152" s="421" t="s">
        <v>6</v>
      </c>
      <c r="C152" s="422" t="s">
        <v>172</v>
      </c>
      <c r="D152" s="423">
        <v>6.4063999999999997</v>
      </c>
      <c r="E152" s="421">
        <v>30.49</v>
      </c>
      <c r="F152" s="449" t="s">
        <v>390</v>
      </c>
      <c r="G152" s="424">
        <f t="shared" si="2"/>
        <v>195.33113599999999</v>
      </c>
    </row>
    <row r="153" spans="1:7" ht="14.25" x14ac:dyDescent="0.2">
      <c r="A153" s="450" t="s">
        <v>227</v>
      </c>
      <c r="B153" s="421" t="s">
        <v>5</v>
      </c>
      <c r="C153" s="451" t="s">
        <v>228</v>
      </c>
      <c r="D153" s="423">
        <v>15</v>
      </c>
      <c r="E153" s="421">
        <v>103.62</v>
      </c>
      <c r="F153" s="449" t="s">
        <v>390</v>
      </c>
      <c r="G153" s="424">
        <f t="shared" si="2"/>
        <v>1554.3000000000002</v>
      </c>
    </row>
    <row r="154" spans="1:7" ht="12.75" customHeight="1" x14ac:dyDescent="0.2">
      <c r="A154" s="426" t="s">
        <v>181</v>
      </c>
      <c r="B154" s="421" t="s">
        <v>167</v>
      </c>
      <c r="C154" s="422" t="s">
        <v>175</v>
      </c>
      <c r="D154" s="423">
        <v>6.3799999999999996E-2</v>
      </c>
      <c r="E154" s="421">
        <v>13.46</v>
      </c>
      <c r="F154" s="449" t="s">
        <v>390</v>
      </c>
      <c r="G154" s="424">
        <f t="shared" si="2"/>
        <v>0.85874799999999996</v>
      </c>
    </row>
    <row r="155" spans="1:7" ht="14.25" x14ac:dyDescent="0.2">
      <c r="A155" s="452" t="s">
        <v>427</v>
      </c>
      <c r="B155" s="421" t="s">
        <v>4</v>
      </c>
      <c r="C155" s="451" t="s">
        <v>426</v>
      </c>
      <c r="D155" s="423">
        <v>1</v>
      </c>
      <c r="E155" s="421">
        <v>26.81</v>
      </c>
      <c r="F155" s="421" t="s">
        <v>390</v>
      </c>
      <c r="G155" s="424">
        <f t="shared" si="2"/>
        <v>26.81</v>
      </c>
    </row>
    <row r="156" spans="1:7" ht="14.25" x14ac:dyDescent="0.2">
      <c r="A156" s="450" t="s">
        <v>229</v>
      </c>
      <c r="B156" s="421" t="s">
        <v>4</v>
      </c>
      <c r="C156" s="451" t="s">
        <v>230</v>
      </c>
      <c r="D156" s="423">
        <v>2</v>
      </c>
      <c r="E156" s="421">
        <v>29.06</v>
      </c>
      <c r="F156" s="449" t="s">
        <v>390</v>
      </c>
      <c r="G156" s="424">
        <f t="shared" si="2"/>
        <v>58.12</v>
      </c>
    </row>
    <row r="157" spans="1:7" ht="14.25" x14ac:dyDescent="0.2">
      <c r="A157" s="437" t="s">
        <v>428</v>
      </c>
      <c r="B157" s="421" t="s">
        <v>6</v>
      </c>
      <c r="C157" s="451" t="s">
        <v>429</v>
      </c>
      <c r="D157" s="423">
        <v>2.4</v>
      </c>
      <c r="E157" s="424">
        <v>74.55</v>
      </c>
      <c r="F157" s="424" t="s">
        <v>390</v>
      </c>
      <c r="G157" s="424">
        <f>PRODUCT(D157,E157)</f>
        <v>178.92</v>
      </c>
    </row>
    <row r="158" spans="1:7" ht="12.75" customHeight="1" x14ac:dyDescent="0.25">
      <c r="A158" s="639" t="s">
        <v>61</v>
      </c>
      <c r="B158" s="639"/>
      <c r="C158" s="639"/>
      <c r="D158" s="639"/>
      <c r="E158" s="639"/>
      <c r="F158" s="639"/>
      <c r="G158" s="428">
        <f>SUM(G149:G157)</f>
        <v>2315.8875379999999</v>
      </c>
    </row>
    <row r="159" spans="1:7" ht="12.75" customHeight="1" x14ac:dyDescent="0.2">
      <c r="A159" s="645"/>
      <c r="B159" s="645"/>
      <c r="C159" s="645"/>
      <c r="D159" s="645"/>
      <c r="E159" s="645"/>
      <c r="F159" s="645"/>
      <c r="G159" s="645"/>
    </row>
    <row r="160" spans="1:7" ht="12.75" customHeight="1" x14ac:dyDescent="0.25">
      <c r="A160" s="647" t="s">
        <v>63</v>
      </c>
      <c r="B160" s="647"/>
      <c r="C160" s="647"/>
      <c r="D160" s="647"/>
      <c r="E160" s="647"/>
      <c r="F160" s="647"/>
      <c r="G160" s="647"/>
    </row>
    <row r="161" spans="1:7" ht="12.75" customHeight="1" x14ac:dyDescent="0.25">
      <c r="A161" s="419" t="s">
        <v>64</v>
      </c>
      <c r="B161" s="419" t="s">
        <v>65</v>
      </c>
      <c r="C161" s="419" t="s">
        <v>66</v>
      </c>
      <c r="D161" s="642" t="s">
        <v>430</v>
      </c>
      <c r="E161" s="642"/>
      <c r="F161" s="642"/>
      <c r="G161" s="642"/>
    </row>
    <row r="162" spans="1:7" ht="12.75" customHeight="1" x14ac:dyDescent="0.25">
      <c r="A162" s="429" t="s">
        <v>67</v>
      </c>
      <c r="B162" s="430"/>
      <c r="C162" s="431">
        <f>G146</f>
        <v>28.29</v>
      </c>
      <c r="D162" s="642"/>
      <c r="E162" s="642"/>
      <c r="F162" s="642"/>
      <c r="G162" s="642"/>
    </row>
    <row r="163" spans="1:7" ht="12.75" customHeight="1" x14ac:dyDescent="0.25">
      <c r="A163" s="429" t="s">
        <v>68</v>
      </c>
      <c r="B163" s="431"/>
      <c r="C163" s="431">
        <f>G158</f>
        <v>2315.8875379999999</v>
      </c>
      <c r="D163" s="642"/>
      <c r="E163" s="642"/>
      <c r="F163" s="642"/>
      <c r="G163" s="642"/>
    </row>
    <row r="164" spans="1:7" ht="12.75" customHeight="1" x14ac:dyDescent="0.25">
      <c r="A164" s="429" t="s">
        <v>69</v>
      </c>
      <c r="B164" s="429"/>
      <c r="C164" s="431">
        <v>0</v>
      </c>
      <c r="D164" s="642"/>
      <c r="E164" s="642"/>
      <c r="F164" s="642"/>
      <c r="G164" s="642"/>
    </row>
    <row r="165" spans="1:7" ht="12.75" customHeight="1" x14ac:dyDescent="0.25">
      <c r="A165" s="429" t="s">
        <v>70</v>
      </c>
      <c r="B165" s="429"/>
      <c r="C165" s="431">
        <v>1</v>
      </c>
      <c r="D165" s="642"/>
      <c r="E165" s="642"/>
      <c r="F165" s="642"/>
      <c r="G165" s="642"/>
    </row>
    <row r="166" spans="1:7" ht="12.75" customHeight="1" x14ac:dyDescent="0.25">
      <c r="A166" s="429" t="s">
        <v>71</v>
      </c>
      <c r="B166" s="429"/>
      <c r="C166" s="431">
        <f>C162+C164</f>
        <v>28.29</v>
      </c>
      <c r="D166" s="642"/>
      <c r="E166" s="642"/>
      <c r="F166" s="642"/>
      <c r="G166" s="642"/>
    </row>
    <row r="167" spans="1:7" ht="12.75" customHeight="1" x14ac:dyDescent="0.25">
      <c r="A167" s="429" t="s">
        <v>72</v>
      </c>
      <c r="B167" s="429"/>
      <c r="C167" s="431">
        <f>(C162+C164)/C165</f>
        <v>28.29</v>
      </c>
      <c r="D167" s="642"/>
      <c r="E167" s="642"/>
      <c r="F167" s="642"/>
      <c r="G167" s="642"/>
    </row>
    <row r="168" spans="1:7" ht="12.75" customHeight="1" x14ac:dyDescent="0.25">
      <c r="A168" s="429" t="s">
        <v>73</v>
      </c>
      <c r="B168" s="429"/>
      <c r="C168" s="431">
        <f>C163+C167</f>
        <v>2344.1775379999999</v>
      </c>
      <c r="D168" s="642"/>
      <c r="E168" s="642"/>
      <c r="F168" s="642"/>
      <c r="G168" s="642"/>
    </row>
    <row r="169" spans="1:7" ht="12.75" customHeight="1" x14ac:dyDescent="0.25">
      <c r="A169" s="429" t="s">
        <v>74</v>
      </c>
      <c r="B169" s="430">
        <v>0.2631</v>
      </c>
      <c r="C169" s="431">
        <f>C168*B169</f>
        <v>616.75311024780001</v>
      </c>
      <c r="D169" s="642"/>
      <c r="E169" s="642"/>
      <c r="F169" s="642"/>
      <c r="G169" s="642"/>
    </row>
    <row r="170" spans="1:7" ht="12.75" customHeight="1" x14ac:dyDescent="0.25">
      <c r="A170" s="429" t="s">
        <v>75</v>
      </c>
      <c r="B170" s="649">
        <f>C168+C169</f>
        <v>2960.9306482478</v>
      </c>
      <c r="C170" s="649"/>
      <c r="D170" s="642"/>
      <c r="E170" s="642"/>
      <c r="F170" s="642"/>
      <c r="G170" s="642"/>
    </row>
    <row r="171" spans="1:7" ht="12.75" customHeight="1" x14ac:dyDescent="0.2">
      <c r="A171" s="645"/>
      <c r="B171" s="645"/>
      <c r="C171" s="645"/>
      <c r="D171" s="645"/>
      <c r="E171" s="645"/>
      <c r="F171" s="645"/>
      <c r="G171" s="645"/>
    </row>
    <row r="172" spans="1:7" ht="27.75" customHeight="1" x14ac:dyDescent="0.2">
      <c r="A172" s="634" t="s">
        <v>432</v>
      </c>
      <c r="B172" s="635"/>
      <c r="C172" s="635"/>
      <c r="D172" s="636"/>
      <c r="E172" s="637" t="s">
        <v>439</v>
      </c>
      <c r="F172" s="638"/>
      <c r="G172" s="60" t="s">
        <v>4</v>
      </c>
    </row>
    <row r="173" spans="1:7" ht="12.75" customHeight="1" x14ac:dyDescent="0.25">
      <c r="A173" s="419" t="s">
        <v>385</v>
      </c>
      <c r="B173" s="419" t="s">
        <v>56</v>
      </c>
      <c r="C173" s="419" t="s">
        <v>57</v>
      </c>
      <c r="D173" s="419" t="s">
        <v>36</v>
      </c>
      <c r="E173" s="419" t="s">
        <v>58</v>
      </c>
      <c r="F173" s="419" t="s">
        <v>389</v>
      </c>
      <c r="G173" s="419" t="s">
        <v>59</v>
      </c>
    </row>
    <row r="174" spans="1:7" ht="12.75" customHeight="1" x14ac:dyDescent="0.2">
      <c r="A174" s="420" t="s">
        <v>124</v>
      </c>
      <c r="B174" s="421" t="s">
        <v>60</v>
      </c>
      <c r="C174" s="422" t="s">
        <v>123</v>
      </c>
      <c r="D174" s="423">
        <v>0.3</v>
      </c>
      <c r="E174" s="424">
        <v>12.95</v>
      </c>
      <c r="F174" s="424" t="s">
        <v>390</v>
      </c>
      <c r="G174" s="424">
        <f>PRODUCT(D174,E174)</f>
        <v>3.8849999999999998</v>
      </c>
    </row>
    <row r="175" spans="1:7" ht="12.75" customHeight="1" x14ac:dyDescent="0.2">
      <c r="A175" s="420" t="s">
        <v>241</v>
      </c>
      <c r="B175" s="421" t="s">
        <v>60</v>
      </c>
      <c r="C175" s="422" t="s">
        <v>246</v>
      </c>
      <c r="D175" s="423">
        <v>0.3</v>
      </c>
      <c r="E175" s="424">
        <v>15.34</v>
      </c>
      <c r="F175" s="424" t="s">
        <v>390</v>
      </c>
      <c r="G175" s="424">
        <f>PRODUCT(D175,E175)</f>
        <v>4.6019999999999994</v>
      </c>
    </row>
    <row r="176" spans="1:7" ht="12.75" customHeight="1" x14ac:dyDescent="0.25">
      <c r="A176" s="639" t="s">
        <v>61</v>
      </c>
      <c r="B176" s="639"/>
      <c r="C176" s="639"/>
      <c r="D176" s="639"/>
      <c r="E176" s="639"/>
      <c r="F176" s="639"/>
      <c r="G176" s="424">
        <f>SUM(G174:G175)</f>
        <v>8.4869999999999983</v>
      </c>
    </row>
    <row r="177" spans="1:7" ht="12.75" customHeight="1" x14ac:dyDescent="0.25">
      <c r="A177" s="640"/>
      <c r="B177" s="640"/>
      <c r="C177" s="640"/>
      <c r="D177" s="640"/>
      <c r="E177" s="640"/>
      <c r="F177" s="640"/>
      <c r="G177" s="640"/>
    </row>
    <row r="178" spans="1:7" ht="12.75" customHeight="1" x14ac:dyDescent="0.25">
      <c r="A178" s="419" t="s">
        <v>62</v>
      </c>
      <c r="B178" s="419" t="s">
        <v>56</v>
      </c>
      <c r="C178" s="419" t="s">
        <v>57</v>
      </c>
      <c r="D178" s="419" t="s">
        <v>36</v>
      </c>
      <c r="E178" s="419" t="s">
        <v>58</v>
      </c>
      <c r="F178" s="419" t="s">
        <v>389</v>
      </c>
      <c r="G178" s="419" t="s">
        <v>59</v>
      </c>
    </row>
    <row r="179" spans="1:7" ht="12.75" customHeight="1" x14ac:dyDescent="0.2">
      <c r="A179" s="426" t="s">
        <v>243</v>
      </c>
      <c r="B179" s="421" t="s">
        <v>4</v>
      </c>
      <c r="C179" s="451" t="s">
        <v>244</v>
      </c>
      <c r="D179" s="423">
        <v>2</v>
      </c>
      <c r="E179" s="421">
        <v>0.17</v>
      </c>
      <c r="F179" s="421" t="s">
        <v>390</v>
      </c>
      <c r="G179" s="424">
        <f>PRODUCT(D179,E179)</f>
        <v>0.34</v>
      </c>
    </row>
    <row r="180" spans="1:7" ht="42.75" x14ac:dyDescent="0.2">
      <c r="A180" s="432" t="s">
        <v>242</v>
      </c>
      <c r="B180" s="421" t="s">
        <v>4</v>
      </c>
      <c r="C180" s="422" t="s">
        <v>245</v>
      </c>
      <c r="D180" s="423">
        <v>1</v>
      </c>
      <c r="E180" s="421">
        <v>13.61</v>
      </c>
      <c r="F180" s="421" t="s">
        <v>390</v>
      </c>
      <c r="G180" s="424">
        <f>PRODUCT(D180,E180)</f>
        <v>13.61</v>
      </c>
    </row>
    <row r="181" spans="1:7" ht="12.75" customHeight="1" x14ac:dyDescent="0.25">
      <c r="A181" s="639" t="s">
        <v>61</v>
      </c>
      <c r="B181" s="639"/>
      <c r="C181" s="639"/>
      <c r="D181" s="639"/>
      <c r="E181" s="639"/>
      <c r="F181" s="639"/>
      <c r="G181" s="428">
        <f>SUM(G179:G180)</f>
        <v>13.95</v>
      </c>
    </row>
    <row r="182" spans="1:7" ht="12.75" customHeight="1" x14ac:dyDescent="0.2">
      <c r="A182" s="645"/>
      <c r="B182" s="645"/>
      <c r="C182" s="645"/>
      <c r="D182" s="645"/>
      <c r="E182" s="645"/>
      <c r="F182" s="645"/>
      <c r="G182" s="645"/>
    </row>
    <row r="183" spans="1:7" ht="12.75" customHeight="1" x14ac:dyDescent="0.25">
      <c r="A183" s="647" t="s">
        <v>63</v>
      </c>
      <c r="B183" s="647"/>
      <c r="C183" s="647"/>
      <c r="D183" s="647"/>
      <c r="E183" s="647"/>
      <c r="F183" s="647"/>
      <c r="G183" s="647"/>
    </row>
    <row r="184" spans="1:7" ht="12.75" customHeight="1" x14ac:dyDescent="0.25">
      <c r="A184" s="419" t="s">
        <v>64</v>
      </c>
      <c r="B184" s="419" t="s">
        <v>65</v>
      </c>
      <c r="C184" s="419" t="s">
        <v>66</v>
      </c>
      <c r="D184" s="642" t="s">
        <v>431</v>
      </c>
      <c r="E184" s="642"/>
      <c r="F184" s="642"/>
      <c r="G184" s="642"/>
    </row>
    <row r="185" spans="1:7" ht="12.75" customHeight="1" x14ac:dyDescent="0.25">
      <c r="A185" s="429" t="s">
        <v>67</v>
      </c>
      <c r="B185" s="430"/>
      <c r="C185" s="431">
        <f>G176</f>
        <v>8.4869999999999983</v>
      </c>
      <c r="D185" s="642"/>
      <c r="E185" s="642"/>
      <c r="F185" s="642"/>
      <c r="G185" s="642"/>
    </row>
    <row r="186" spans="1:7" ht="12.75" customHeight="1" x14ac:dyDescent="0.25">
      <c r="A186" s="429" t="s">
        <v>68</v>
      </c>
      <c r="B186" s="431"/>
      <c r="C186" s="431">
        <f>G181</f>
        <v>13.95</v>
      </c>
      <c r="D186" s="642"/>
      <c r="E186" s="642"/>
      <c r="F186" s="642"/>
      <c r="G186" s="642"/>
    </row>
    <row r="187" spans="1:7" ht="12.75" customHeight="1" x14ac:dyDescent="0.25">
      <c r="A187" s="429" t="s">
        <v>69</v>
      </c>
      <c r="B187" s="429"/>
      <c r="C187" s="431">
        <v>0</v>
      </c>
      <c r="D187" s="642"/>
      <c r="E187" s="642"/>
      <c r="F187" s="642"/>
      <c r="G187" s="642"/>
    </row>
    <row r="188" spans="1:7" ht="12.75" customHeight="1" x14ac:dyDescent="0.25">
      <c r="A188" s="429" t="s">
        <v>70</v>
      </c>
      <c r="B188" s="429"/>
      <c r="C188" s="431">
        <v>1</v>
      </c>
      <c r="D188" s="642"/>
      <c r="E188" s="642"/>
      <c r="F188" s="642"/>
      <c r="G188" s="642"/>
    </row>
    <row r="189" spans="1:7" ht="12.75" customHeight="1" x14ac:dyDescent="0.25">
      <c r="A189" s="429" t="s">
        <v>71</v>
      </c>
      <c r="B189" s="429"/>
      <c r="C189" s="431">
        <f>C185+C187</f>
        <v>8.4869999999999983</v>
      </c>
      <c r="D189" s="642"/>
      <c r="E189" s="642"/>
      <c r="F189" s="642"/>
      <c r="G189" s="642"/>
    </row>
    <row r="190" spans="1:7" ht="12.75" customHeight="1" x14ac:dyDescent="0.25">
      <c r="A190" s="429" t="s">
        <v>72</v>
      </c>
      <c r="B190" s="429"/>
      <c r="C190" s="431">
        <f>(C185+C187)/C188</f>
        <v>8.4869999999999983</v>
      </c>
      <c r="D190" s="642"/>
      <c r="E190" s="642"/>
      <c r="F190" s="642"/>
      <c r="G190" s="642"/>
    </row>
    <row r="191" spans="1:7" ht="12.75" customHeight="1" x14ac:dyDescent="0.25">
      <c r="A191" s="429" t="s">
        <v>73</v>
      </c>
      <c r="B191" s="429"/>
      <c r="C191" s="431">
        <f>C186+C190</f>
        <v>22.436999999999998</v>
      </c>
      <c r="D191" s="642"/>
      <c r="E191" s="642"/>
      <c r="F191" s="642"/>
      <c r="G191" s="642"/>
    </row>
    <row r="192" spans="1:7" ht="12.75" customHeight="1" x14ac:dyDescent="0.25">
      <c r="A192" s="429" t="s">
        <v>74</v>
      </c>
      <c r="B192" s="430">
        <v>0.2631</v>
      </c>
      <c r="C192" s="431">
        <f>C191*B192</f>
        <v>5.9031746999999992</v>
      </c>
      <c r="D192" s="642"/>
      <c r="E192" s="642"/>
      <c r="F192" s="642"/>
      <c r="G192" s="642"/>
    </row>
    <row r="193" spans="1:7" ht="12.75" customHeight="1" x14ac:dyDescent="0.25">
      <c r="A193" s="429" t="s">
        <v>75</v>
      </c>
      <c r="B193" s="643">
        <f>C191+C192</f>
        <v>28.340174699999999</v>
      </c>
      <c r="C193" s="643"/>
      <c r="D193" s="642"/>
      <c r="E193" s="642"/>
      <c r="F193" s="642"/>
      <c r="G193" s="642"/>
    </row>
    <row r="194" spans="1:7" ht="12.75" customHeight="1" x14ac:dyDescent="0.2">
      <c r="A194" s="645"/>
      <c r="B194" s="645"/>
      <c r="C194" s="645"/>
      <c r="D194" s="645"/>
      <c r="E194" s="645"/>
      <c r="F194" s="645"/>
      <c r="G194" s="645"/>
    </row>
    <row r="195" spans="1:7" ht="12.75" customHeight="1" x14ac:dyDescent="0.2">
      <c r="A195" s="634" t="s">
        <v>856</v>
      </c>
      <c r="B195" s="635"/>
      <c r="C195" s="635"/>
      <c r="D195" s="636"/>
      <c r="E195" s="637" t="s">
        <v>225</v>
      </c>
      <c r="F195" s="638"/>
      <c r="G195" s="60" t="s">
        <v>4</v>
      </c>
    </row>
    <row r="196" spans="1:7" ht="12.75" customHeight="1" x14ac:dyDescent="0.25">
      <c r="A196" s="419" t="s">
        <v>385</v>
      </c>
      <c r="B196" s="419" t="s">
        <v>56</v>
      </c>
      <c r="C196" s="419" t="s">
        <v>57</v>
      </c>
      <c r="D196" s="419" t="s">
        <v>36</v>
      </c>
      <c r="E196" s="419" t="s">
        <v>58</v>
      </c>
      <c r="F196" s="419" t="s">
        <v>389</v>
      </c>
      <c r="G196" s="419" t="s">
        <v>59</v>
      </c>
    </row>
    <row r="197" spans="1:7" ht="12.75" customHeight="1" x14ac:dyDescent="0.2">
      <c r="A197" s="420" t="s">
        <v>124</v>
      </c>
      <c r="B197" s="421" t="s">
        <v>60</v>
      </c>
      <c r="C197" s="422" t="s">
        <v>123</v>
      </c>
      <c r="D197" s="442">
        <v>0.8</v>
      </c>
      <c r="E197" s="424">
        <v>12.95</v>
      </c>
      <c r="F197" s="424" t="s">
        <v>390</v>
      </c>
      <c r="G197" s="424">
        <f>ROUND(E197*D197,2)</f>
        <v>10.36</v>
      </c>
    </row>
    <row r="198" spans="1:7" ht="12.75" customHeight="1" x14ac:dyDescent="0.2">
      <c r="A198" s="420" t="s">
        <v>114</v>
      </c>
      <c r="B198" s="421" t="s">
        <v>60</v>
      </c>
      <c r="C198" s="422" t="s">
        <v>135</v>
      </c>
      <c r="D198" s="442">
        <v>0.8</v>
      </c>
      <c r="E198" s="424">
        <v>15.34</v>
      </c>
      <c r="F198" s="424" t="s">
        <v>390</v>
      </c>
      <c r="G198" s="424">
        <f>ROUND(E198*D198,2)</f>
        <v>12.27</v>
      </c>
    </row>
    <row r="199" spans="1:7" ht="12.75" customHeight="1" x14ac:dyDescent="0.25">
      <c r="A199" s="639" t="s">
        <v>61</v>
      </c>
      <c r="B199" s="639"/>
      <c r="C199" s="639"/>
      <c r="D199" s="639"/>
      <c r="E199" s="639"/>
      <c r="F199" s="639"/>
      <c r="G199" s="424">
        <f>SUM(G197:G198)</f>
        <v>22.63</v>
      </c>
    </row>
    <row r="200" spans="1:7" ht="12.75" customHeight="1" x14ac:dyDescent="0.25">
      <c r="A200" s="640"/>
      <c r="B200" s="640"/>
      <c r="C200" s="640"/>
      <c r="D200" s="640"/>
      <c r="E200" s="640"/>
      <c r="F200" s="640"/>
      <c r="G200" s="640"/>
    </row>
    <row r="201" spans="1:7" ht="12.75" customHeight="1" x14ac:dyDescent="0.25">
      <c r="A201" s="419" t="s">
        <v>62</v>
      </c>
      <c r="B201" s="419" t="s">
        <v>56</v>
      </c>
      <c r="C201" s="419" t="s">
        <v>57</v>
      </c>
      <c r="D201" s="419" t="s">
        <v>36</v>
      </c>
      <c r="E201" s="419" t="s">
        <v>58</v>
      </c>
      <c r="F201" s="419" t="s">
        <v>389</v>
      </c>
      <c r="G201" s="419" t="s">
        <v>59</v>
      </c>
    </row>
    <row r="202" spans="1:7" ht="12.75" customHeight="1" x14ac:dyDescent="0.2">
      <c r="A202" s="432" t="s">
        <v>253</v>
      </c>
      <c r="B202" s="421" t="s">
        <v>4</v>
      </c>
      <c r="C202" s="422" t="s">
        <v>263</v>
      </c>
      <c r="D202" s="442">
        <v>1</v>
      </c>
      <c r="E202" s="421">
        <v>53.5</v>
      </c>
      <c r="F202" s="421" t="s">
        <v>390</v>
      </c>
      <c r="G202" s="427">
        <f>E202*D202</f>
        <v>53.5</v>
      </c>
    </row>
    <row r="203" spans="1:7" ht="12.75" customHeight="1" x14ac:dyDescent="0.25">
      <c r="A203" s="639" t="s">
        <v>61</v>
      </c>
      <c r="B203" s="639"/>
      <c r="C203" s="639"/>
      <c r="D203" s="639"/>
      <c r="E203" s="639"/>
      <c r="F203" s="639"/>
      <c r="G203" s="428">
        <f>SUM(G202:G202)</f>
        <v>53.5</v>
      </c>
    </row>
    <row r="204" spans="1:7" ht="12.75" customHeight="1" x14ac:dyDescent="0.2">
      <c r="A204" s="645"/>
      <c r="B204" s="645"/>
      <c r="C204" s="645"/>
      <c r="D204" s="645"/>
      <c r="E204" s="645"/>
      <c r="F204" s="645"/>
      <c r="G204" s="645"/>
    </row>
    <row r="205" spans="1:7" ht="12.75" customHeight="1" x14ac:dyDescent="0.25">
      <c r="A205" s="647" t="s">
        <v>63</v>
      </c>
      <c r="B205" s="647"/>
      <c r="C205" s="647"/>
      <c r="D205" s="647"/>
      <c r="E205" s="647"/>
      <c r="F205" s="647"/>
      <c r="G205" s="647"/>
    </row>
    <row r="206" spans="1:7" ht="12.75" customHeight="1" x14ac:dyDescent="0.25">
      <c r="A206" s="419" t="s">
        <v>64</v>
      </c>
      <c r="B206" s="419" t="s">
        <v>65</v>
      </c>
      <c r="C206" s="419" t="s">
        <v>66</v>
      </c>
      <c r="D206" s="642" t="s">
        <v>433</v>
      </c>
      <c r="E206" s="642"/>
      <c r="F206" s="642"/>
      <c r="G206" s="642"/>
    </row>
    <row r="207" spans="1:7" ht="12.75" customHeight="1" x14ac:dyDescent="0.25">
      <c r="A207" s="429" t="s">
        <v>67</v>
      </c>
      <c r="B207" s="430"/>
      <c r="C207" s="431">
        <f>G199</f>
        <v>22.63</v>
      </c>
      <c r="D207" s="642"/>
      <c r="E207" s="642"/>
      <c r="F207" s="642"/>
      <c r="G207" s="642"/>
    </row>
    <row r="208" spans="1:7" ht="12.75" customHeight="1" x14ac:dyDescent="0.25">
      <c r="A208" s="429" t="s">
        <v>68</v>
      </c>
      <c r="B208" s="431"/>
      <c r="C208" s="431">
        <f>G203</f>
        <v>53.5</v>
      </c>
      <c r="D208" s="642"/>
      <c r="E208" s="642"/>
      <c r="F208" s="642"/>
      <c r="G208" s="642"/>
    </row>
    <row r="209" spans="1:7" ht="12.75" customHeight="1" x14ac:dyDescent="0.25">
      <c r="A209" s="429" t="s">
        <v>69</v>
      </c>
      <c r="B209" s="429"/>
      <c r="C209" s="431">
        <v>0</v>
      </c>
      <c r="D209" s="642"/>
      <c r="E209" s="642"/>
      <c r="F209" s="642"/>
      <c r="G209" s="642"/>
    </row>
    <row r="210" spans="1:7" ht="12.75" customHeight="1" x14ac:dyDescent="0.25">
      <c r="A210" s="429" t="s">
        <v>70</v>
      </c>
      <c r="B210" s="429"/>
      <c r="C210" s="431">
        <v>1</v>
      </c>
      <c r="D210" s="642"/>
      <c r="E210" s="642"/>
      <c r="F210" s="642"/>
      <c r="G210" s="642"/>
    </row>
    <row r="211" spans="1:7" ht="12.75" customHeight="1" x14ac:dyDescent="0.25">
      <c r="A211" s="429" t="s">
        <v>71</v>
      </c>
      <c r="B211" s="429"/>
      <c r="C211" s="431">
        <f>C207+C209</f>
        <v>22.63</v>
      </c>
      <c r="D211" s="642"/>
      <c r="E211" s="642"/>
      <c r="F211" s="642"/>
      <c r="G211" s="642"/>
    </row>
    <row r="212" spans="1:7" ht="12.75" customHeight="1" x14ac:dyDescent="0.25">
      <c r="A212" s="429" t="s">
        <v>72</v>
      </c>
      <c r="B212" s="429"/>
      <c r="C212" s="431">
        <f>(C207+C209)/C210</f>
        <v>22.63</v>
      </c>
      <c r="D212" s="642"/>
      <c r="E212" s="642"/>
      <c r="F212" s="642"/>
      <c r="G212" s="642"/>
    </row>
    <row r="213" spans="1:7" ht="12.75" customHeight="1" x14ac:dyDescent="0.25">
      <c r="A213" s="429" t="s">
        <v>73</v>
      </c>
      <c r="B213" s="429"/>
      <c r="C213" s="431">
        <f>C208+C212</f>
        <v>76.13</v>
      </c>
      <c r="D213" s="642"/>
      <c r="E213" s="642"/>
      <c r="F213" s="642"/>
      <c r="G213" s="642"/>
    </row>
    <row r="214" spans="1:7" ht="12.75" customHeight="1" x14ac:dyDescent="0.25">
      <c r="A214" s="429" t="s">
        <v>74</v>
      </c>
      <c r="B214" s="430">
        <v>0.2631</v>
      </c>
      <c r="C214" s="431">
        <f>C213*B214</f>
        <v>20.029802999999998</v>
      </c>
      <c r="D214" s="642"/>
      <c r="E214" s="642"/>
      <c r="F214" s="642"/>
      <c r="G214" s="642"/>
    </row>
    <row r="215" spans="1:7" ht="12.75" customHeight="1" x14ac:dyDescent="0.25">
      <c r="A215" s="429" t="s">
        <v>75</v>
      </c>
      <c r="B215" s="643">
        <f>C213+C214</f>
        <v>96.159802999999997</v>
      </c>
      <c r="C215" s="643"/>
      <c r="D215" s="642"/>
      <c r="E215" s="642"/>
      <c r="F215" s="642"/>
      <c r="G215" s="642"/>
    </row>
    <row r="216" spans="1:7" ht="12.75" customHeight="1" x14ac:dyDescent="0.2">
      <c r="A216" s="645"/>
      <c r="B216" s="645"/>
      <c r="C216" s="645"/>
      <c r="D216" s="645"/>
      <c r="E216" s="645"/>
      <c r="F216" s="645"/>
      <c r="G216" s="645"/>
    </row>
    <row r="217" spans="1:7" ht="24.75" customHeight="1" x14ac:dyDescent="0.2">
      <c r="A217" s="634" t="s">
        <v>274</v>
      </c>
      <c r="B217" s="635"/>
      <c r="C217" s="635"/>
      <c r="D217" s="636"/>
      <c r="E217" s="637" t="s">
        <v>240</v>
      </c>
      <c r="F217" s="638"/>
      <c r="G217" s="60" t="s">
        <v>4</v>
      </c>
    </row>
    <row r="218" spans="1:7" ht="12.75" customHeight="1" x14ac:dyDescent="0.25">
      <c r="A218" s="419" t="s">
        <v>385</v>
      </c>
      <c r="B218" s="419" t="s">
        <v>56</v>
      </c>
      <c r="C218" s="419" t="s">
        <v>57</v>
      </c>
      <c r="D218" s="419" t="s">
        <v>36</v>
      </c>
      <c r="E218" s="419" t="s">
        <v>58</v>
      </c>
      <c r="F218" s="419" t="s">
        <v>389</v>
      </c>
      <c r="G218" s="419" t="s">
        <v>59</v>
      </c>
    </row>
    <row r="219" spans="1:7" ht="12.75" customHeight="1" x14ac:dyDescent="0.2">
      <c r="A219" s="420" t="s">
        <v>124</v>
      </c>
      <c r="B219" s="421" t="s">
        <v>60</v>
      </c>
      <c r="C219" s="422" t="s">
        <v>123</v>
      </c>
      <c r="D219" s="423">
        <v>0.3</v>
      </c>
      <c r="E219" s="424">
        <v>12.95</v>
      </c>
      <c r="F219" s="424" t="s">
        <v>390</v>
      </c>
      <c r="G219" s="424">
        <f>PRODUCT(D219,E219)</f>
        <v>3.8849999999999998</v>
      </c>
    </row>
    <row r="220" spans="1:7" ht="12.75" customHeight="1" x14ac:dyDescent="0.2">
      <c r="A220" s="420" t="s">
        <v>241</v>
      </c>
      <c r="B220" s="421" t="s">
        <v>60</v>
      </c>
      <c r="C220" s="422" t="s">
        <v>246</v>
      </c>
      <c r="D220" s="423">
        <v>0.3</v>
      </c>
      <c r="E220" s="424">
        <v>15.34</v>
      </c>
      <c r="F220" s="424" t="s">
        <v>390</v>
      </c>
      <c r="G220" s="424">
        <f>PRODUCT(D220,E220)</f>
        <v>4.6019999999999994</v>
      </c>
    </row>
    <row r="221" spans="1:7" ht="12.75" customHeight="1" x14ac:dyDescent="0.25">
      <c r="A221" s="639" t="s">
        <v>61</v>
      </c>
      <c r="B221" s="639"/>
      <c r="C221" s="639"/>
      <c r="D221" s="639"/>
      <c r="E221" s="639"/>
      <c r="F221" s="639"/>
      <c r="G221" s="424">
        <f>SUM(G219:G220)</f>
        <v>8.4869999999999983</v>
      </c>
    </row>
    <row r="222" spans="1:7" ht="12.75" customHeight="1" x14ac:dyDescent="0.25">
      <c r="A222" s="640"/>
      <c r="B222" s="640"/>
      <c r="C222" s="640"/>
      <c r="D222" s="640"/>
      <c r="E222" s="640"/>
      <c r="F222" s="640"/>
      <c r="G222" s="640"/>
    </row>
    <row r="223" spans="1:7" ht="12.75" customHeight="1" x14ac:dyDescent="0.25">
      <c r="A223" s="419" t="s">
        <v>62</v>
      </c>
      <c r="B223" s="419" t="s">
        <v>56</v>
      </c>
      <c r="C223" s="419" t="s">
        <v>57</v>
      </c>
      <c r="D223" s="419" t="s">
        <v>36</v>
      </c>
      <c r="E223" s="419" t="s">
        <v>58</v>
      </c>
      <c r="F223" s="419" t="s">
        <v>389</v>
      </c>
      <c r="G223" s="419" t="s">
        <v>59</v>
      </c>
    </row>
    <row r="224" spans="1:7" ht="12.75" customHeight="1" x14ac:dyDescent="0.2">
      <c r="A224" s="426" t="s">
        <v>243</v>
      </c>
      <c r="B224" s="421" t="s">
        <v>4</v>
      </c>
      <c r="C224" s="451" t="s">
        <v>244</v>
      </c>
      <c r="D224" s="423">
        <v>2</v>
      </c>
      <c r="E224" s="421">
        <v>0.17</v>
      </c>
      <c r="F224" s="421" t="s">
        <v>390</v>
      </c>
      <c r="G224" s="424">
        <f>PRODUCT(D224,E224)</f>
        <v>0.34</v>
      </c>
    </row>
    <row r="225" spans="1:7" ht="57" x14ac:dyDescent="0.2">
      <c r="A225" s="453" t="s">
        <v>275</v>
      </c>
      <c r="B225" s="421" t="s">
        <v>4</v>
      </c>
      <c r="C225" s="422" t="s">
        <v>276</v>
      </c>
      <c r="D225" s="423">
        <v>1</v>
      </c>
      <c r="E225" s="421">
        <v>21.91</v>
      </c>
      <c r="F225" s="421" t="s">
        <v>390</v>
      </c>
      <c r="G225" s="424">
        <f>PRODUCT(D225,E225)</f>
        <v>21.91</v>
      </c>
    </row>
    <row r="226" spans="1:7" ht="12.75" customHeight="1" x14ac:dyDescent="0.25">
      <c r="A226" s="639" t="s">
        <v>61</v>
      </c>
      <c r="B226" s="639"/>
      <c r="C226" s="639"/>
      <c r="D226" s="639"/>
      <c r="E226" s="639"/>
      <c r="F226" s="639"/>
      <c r="G226" s="428">
        <f>SUM(G224:G225)</f>
        <v>22.25</v>
      </c>
    </row>
    <row r="227" spans="1:7" ht="12.75" customHeight="1" x14ac:dyDescent="0.2">
      <c r="A227" s="645"/>
      <c r="B227" s="645"/>
      <c r="C227" s="645"/>
      <c r="D227" s="645"/>
      <c r="E227" s="645"/>
      <c r="F227" s="645"/>
      <c r="G227" s="645"/>
    </row>
    <row r="228" spans="1:7" ht="12.75" customHeight="1" x14ac:dyDescent="0.25">
      <c r="A228" s="647" t="s">
        <v>63</v>
      </c>
      <c r="B228" s="647"/>
      <c r="C228" s="647"/>
      <c r="D228" s="647"/>
      <c r="E228" s="647"/>
      <c r="F228" s="647"/>
      <c r="G228" s="647"/>
    </row>
    <row r="229" spans="1:7" ht="12.75" customHeight="1" x14ac:dyDescent="0.25">
      <c r="A229" s="419" t="s">
        <v>64</v>
      </c>
      <c r="B229" s="419" t="s">
        <v>65</v>
      </c>
      <c r="C229" s="419" t="s">
        <v>66</v>
      </c>
      <c r="D229" s="642" t="s">
        <v>434</v>
      </c>
      <c r="E229" s="642"/>
      <c r="F229" s="642"/>
      <c r="G229" s="642"/>
    </row>
    <row r="230" spans="1:7" ht="12.75" customHeight="1" x14ac:dyDescent="0.25">
      <c r="A230" s="429" t="s">
        <v>67</v>
      </c>
      <c r="B230" s="430"/>
      <c r="C230" s="431">
        <f>G221</f>
        <v>8.4869999999999983</v>
      </c>
      <c r="D230" s="642"/>
      <c r="E230" s="642"/>
      <c r="F230" s="642"/>
      <c r="G230" s="642"/>
    </row>
    <row r="231" spans="1:7" ht="12.75" customHeight="1" x14ac:dyDescent="0.25">
      <c r="A231" s="429" t="s">
        <v>68</v>
      </c>
      <c r="B231" s="431"/>
      <c r="C231" s="431">
        <f>G226</f>
        <v>22.25</v>
      </c>
      <c r="D231" s="642"/>
      <c r="E231" s="642"/>
      <c r="F231" s="642"/>
      <c r="G231" s="642"/>
    </row>
    <row r="232" spans="1:7" ht="12.75" customHeight="1" x14ac:dyDescent="0.25">
      <c r="A232" s="429" t="s">
        <v>69</v>
      </c>
      <c r="B232" s="429"/>
      <c r="C232" s="431">
        <v>0</v>
      </c>
      <c r="D232" s="642"/>
      <c r="E232" s="642"/>
      <c r="F232" s="642"/>
      <c r="G232" s="642"/>
    </row>
    <row r="233" spans="1:7" ht="12.75" customHeight="1" x14ac:dyDescent="0.25">
      <c r="A233" s="429" t="s">
        <v>70</v>
      </c>
      <c r="B233" s="429"/>
      <c r="C233" s="431">
        <v>1</v>
      </c>
      <c r="D233" s="642"/>
      <c r="E233" s="642"/>
      <c r="F233" s="642"/>
      <c r="G233" s="642"/>
    </row>
    <row r="234" spans="1:7" ht="12.75" customHeight="1" x14ac:dyDescent="0.25">
      <c r="A234" s="429" t="s">
        <v>71</v>
      </c>
      <c r="B234" s="429"/>
      <c r="C234" s="431">
        <f>C230+C232</f>
        <v>8.4869999999999983</v>
      </c>
      <c r="D234" s="642"/>
      <c r="E234" s="642"/>
      <c r="F234" s="642"/>
      <c r="G234" s="642"/>
    </row>
    <row r="235" spans="1:7" ht="12.75" customHeight="1" x14ac:dyDescent="0.25">
      <c r="A235" s="429" t="s">
        <v>72</v>
      </c>
      <c r="B235" s="429"/>
      <c r="C235" s="431">
        <f>(C230+C232)/C233</f>
        <v>8.4869999999999983</v>
      </c>
      <c r="D235" s="642"/>
      <c r="E235" s="642"/>
      <c r="F235" s="642"/>
      <c r="G235" s="642"/>
    </row>
    <row r="236" spans="1:7" ht="12.75" customHeight="1" x14ac:dyDescent="0.25">
      <c r="A236" s="429" t="s">
        <v>73</v>
      </c>
      <c r="B236" s="429"/>
      <c r="C236" s="431">
        <f>C231+C235</f>
        <v>30.736999999999998</v>
      </c>
      <c r="D236" s="642"/>
      <c r="E236" s="642"/>
      <c r="F236" s="642"/>
      <c r="G236" s="642"/>
    </row>
    <row r="237" spans="1:7" ht="12.75" customHeight="1" x14ac:dyDescent="0.25">
      <c r="A237" s="429" t="s">
        <v>74</v>
      </c>
      <c r="B237" s="430">
        <v>0.2631</v>
      </c>
      <c r="C237" s="431">
        <f>C236*B237</f>
        <v>8.0869046999999998</v>
      </c>
      <c r="D237" s="642"/>
      <c r="E237" s="642"/>
      <c r="F237" s="642"/>
      <c r="G237" s="642"/>
    </row>
    <row r="238" spans="1:7" ht="12.75" customHeight="1" x14ac:dyDescent="0.25">
      <c r="A238" s="429" t="s">
        <v>75</v>
      </c>
      <c r="B238" s="643">
        <f>C236+C237</f>
        <v>38.8239047</v>
      </c>
      <c r="C238" s="643"/>
      <c r="D238" s="642"/>
      <c r="E238" s="642"/>
      <c r="F238" s="642"/>
      <c r="G238" s="642"/>
    </row>
    <row r="239" spans="1:7" ht="12.75" customHeight="1" x14ac:dyDescent="0.2">
      <c r="A239" s="645"/>
      <c r="B239" s="645"/>
      <c r="C239" s="645"/>
      <c r="D239" s="645"/>
      <c r="E239" s="645"/>
      <c r="F239" s="645"/>
      <c r="G239" s="645"/>
    </row>
    <row r="240" spans="1:7" ht="12.75" customHeight="1" x14ac:dyDescent="0.2">
      <c r="A240" s="634" t="s">
        <v>278</v>
      </c>
      <c r="B240" s="635"/>
      <c r="C240" s="635"/>
      <c r="D240" s="636"/>
      <c r="E240" s="637" t="s">
        <v>262</v>
      </c>
      <c r="F240" s="638"/>
      <c r="G240" s="60" t="s">
        <v>4</v>
      </c>
    </row>
    <row r="241" spans="1:7" ht="12.75" customHeight="1" x14ac:dyDescent="0.25">
      <c r="A241" s="419" t="s">
        <v>385</v>
      </c>
      <c r="B241" s="419" t="s">
        <v>56</v>
      </c>
      <c r="C241" s="419" t="s">
        <v>57</v>
      </c>
      <c r="D241" s="419" t="s">
        <v>36</v>
      </c>
      <c r="E241" s="419" t="s">
        <v>58</v>
      </c>
      <c r="F241" s="419" t="s">
        <v>389</v>
      </c>
      <c r="G241" s="419" t="s">
        <v>59</v>
      </c>
    </row>
    <row r="242" spans="1:7" ht="12.75" customHeight="1" x14ac:dyDescent="0.2">
      <c r="A242" s="420" t="s">
        <v>124</v>
      </c>
      <c r="B242" s="421" t="s">
        <v>60</v>
      </c>
      <c r="C242" s="422" t="s">
        <v>123</v>
      </c>
      <c r="D242" s="442">
        <v>0.34</v>
      </c>
      <c r="E242" s="424">
        <v>12.95</v>
      </c>
      <c r="F242" s="424" t="s">
        <v>390</v>
      </c>
      <c r="G242" s="424">
        <f>ROUND(E242*D242,2)</f>
        <v>4.4000000000000004</v>
      </c>
    </row>
    <row r="243" spans="1:7" ht="12.75" customHeight="1" x14ac:dyDescent="0.2">
      <c r="A243" s="420" t="s">
        <v>114</v>
      </c>
      <c r="B243" s="421" t="s">
        <v>60</v>
      </c>
      <c r="C243" s="422" t="s">
        <v>135</v>
      </c>
      <c r="D243" s="442">
        <v>0.34</v>
      </c>
      <c r="E243" s="424">
        <v>15.34</v>
      </c>
      <c r="F243" s="424" t="s">
        <v>390</v>
      </c>
      <c r="G243" s="424">
        <f>ROUND(E243*D243,2)</f>
        <v>5.22</v>
      </c>
    </row>
    <row r="244" spans="1:7" ht="12.75" customHeight="1" x14ac:dyDescent="0.25">
      <c r="A244" s="639" t="s">
        <v>61</v>
      </c>
      <c r="B244" s="639"/>
      <c r="C244" s="639"/>
      <c r="D244" s="639"/>
      <c r="E244" s="639"/>
      <c r="F244" s="639"/>
      <c r="G244" s="424">
        <f>SUM(G242:G243)</f>
        <v>9.620000000000001</v>
      </c>
    </row>
    <row r="245" spans="1:7" ht="12.75" customHeight="1" x14ac:dyDescent="0.25">
      <c r="A245" s="640"/>
      <c r="B245" s="640"/>
      <c r="C245" s="640"/>
      <c r="D245" s="640"/>
      <c r="E245" s="640"/>
      <c r="F245" s="640"/>
      <c r="G245" s="640"/>
    </row>
    <row r="246" spans="1:7" ht="12.75" customHeight="1" x14ac:dyDescent="0.25">
      <c r="A246" s="419" t="s">
        <v>62</v>
      </c>
      <c r="B246" s="419" t="s">
        <v>56</v>
      </c>
      <c r="C246" s="419" t="s">
        <v>57</v>
      </c>
      <c r="D246" s="419" t="s">
        <v>36</v>
      </c>
      <c r="E246" s="419" t="s">
        <v>58</v>
      </c>
      <c r="F246" s="419" t="s">
        <v>389</v>
      </c>
      <c r="G246" s="419" t="s">
        <v>59</v>
      </c>
    </row>
    <row r="247" spans="1:7" ht="28.5" customHeight="1" x14ac:dyDescent="0.2">
      <c r="A247" s="432" t="s">
        <v>278</v>
      </c>
      <c r="B247" s="421" t="s">
        <v>4</v>
      </c>
      <c r="C247" s="451" t="s">
        <v>288</v>
      </c>
      <c r="D247" s="423">
        <v>1</v>
      </c>
      <c r="E247" s="421">
        <v>43.13</v>
      </c>
      <c r="F247" s="421" t="s">
        <v>390</v>
      </c>
      <c r="G247" s="424">
        <f>PRODUCT(D247,E247)</f>
        <v>43.13</v>
      </c>
    </row>
    <row r="248" spans="1:7" ht="12.75" customHeight="1" x14ac:dyDescent="0.25">
      <c r="A248" s="639" t="s">
        <v>61</v>
      </c>
      <c r="B248" s="639"/>
      <c r="C248" s="639"/>
      <c r="D248" s="639"/>
      <c r="E248" s="639"/>
      <c r="F248" s="639"/>
      <c r="G248" s="428">
        <f>SUM(G247:G247)</f>
        <v>43.13</v>
      </c>
    </row>
    <row r="249" spans="1:7" ht="12.75" customHeight="1" x14ac:dyDescent="0.2">
      <c r="A249" s="645"/>
      <c r="B249" s="645"/>
      <c r="C249" s="645"/>
      <c r="D249" s="645"/>
      <c r="E249" s="645"/>
      <c r="F249" s="645"/>
      <c r="G249" s="645"/>
    </row>
    <row r="250" spans="1:7" ht="12.75" customHeight="1" x14ac:dyDescent="0.25">
      <c r="A250" s="647" t="s">
        <v>63</v>
      </c>
      <c r="B250" s="647"/>
      <c r="C250" s="647"/>
      <c r="D250" s="647"/>
      <c r="E250" s="647"/>
      <c r="F250" s="647"/>
      <c r="G250" s="647"/>
    </row>
    <row r="251" spans="1:7" ht="12.75" customHeight="1" x14ac:dyDescent="0.25">
      <c r="A251" s="419" t="s">
        <v>64</v>
      </c>
      <c r="B251" s="419" t="s">
        <v>65</v>
      </c>
      <c r="C251" s="419" t="s">
        <v>66</v>
      </c>
      <c r="D251" s="642" t="s">
        <v>435</v>
      </c>
      <c r="E251" s="642"/>
      <c r="F251" s="642"/>
      <c r="G251" s="642"/>
    </row>
    <row r="252" spans="1:7" ht="12.75" customHeight="1" x14ac:dyDescent="0.25">
      <c r="A252" s="429" t="s">
        <v>67</v>
      </c>
      <c r="B252" s="430"/>
      <c r="C252" s="431">
        <f>G244</f>
        <v>9.620000000000001</v>
      </c>
      <c r="D252" s="642"/>
      <c r="E252" s="642"/>
      <c r="F252" s="642"/>
      <c r="G252" s="642"/>
    </row>
    <row r="253" spans="1:7" ht="12.75" customHeight="1" x14ac:dyDescent="0.25">
      <c r="A253" s="429" t="s">
        <v>68</v>
      </c>
      <c r="B253" s="431"/>
      <c r="C253" s="431">
        <f>G248</f>
        <v>43.13</v>
      </c>
      <c r="D253" s="642"/>
      <c r="E253" s="642"/>
      <c r="F253" s="642"/>
      <c r="G253" s="642"/>
    </row>
    <row r="254" spans="1:7" ht="12.75" customHeight="1" x14ac:dyDescent="0.25">
      <c r="A254" s="429" t="s">
        <v>69</v>
      </c>
      <c r="B254" s="429"/>
      <c r="C254" s="431">
        <v>0</v>
      </c>
      <c r="D254" s="642"/>
      <c r="E254" s="642"/>
      <c r="F254" s="642"/>
      <c r="G254" s="642"/>
    </row>
    <row r="255" spans="1:7" ht="12.75" customHeight="1" x14ac:dyDescent="0.25">
      <c r="A255" s="429" t="s">
        <v>70</v>
      </c>
      <c r="B255" s="429"/>
      <c r="C255" s="431">
        <v>1</v>
      </c>
      <c r="D255" s="642"/>
      <c r="E255" s="642"/>
      <c r="F255" s="642"/>
      <c r="G255" s="642"/>
    </row>
    <row r="256" spans="1:7" ht="12.75" customHeight="1" x14ac:dyDescent="0.25">
      <c r="A256" s="429" t="s">
        <v>71</v>
      </c>
      <c r="B256" s="429"/>
      <c r="C256" s="431">
        <f>C252+C254</f>
        <v>9.620000000000001</v>
      </c>
      <c r="D256" s="642"/>
      <c r="E256" s="642"/>
      <c r="F256" s="642"/>
      <c r="G256" s="642"/>
    </row>
    <row r="257" spans="1:7" ht="12.75" customHeight="1" x14ac:dyDescent="0.25">
      <c r="A257" s="429" t="s">
        <v>72</v>
      </c>
      <c r="B257" s="429"/>
      <c r="C257" s="431">
        <f>(C252+C254)/C255</f>
        <v>9.620000000000001</v>
      </c>
      <c r="D257" s="642"/>
      <c r="E257" s="642"/>
      <c r="F257" s="642"/>
      <c r="G257" s="642"/>
    </row>
    <row r="258" spans="1:7" ht="12.75" customHeight="1" x14ac:dyDescent="0.25">
      <c r="A258" s="429" t="s">
        <v>73</v>
      </c>
      <c r="B258" s="429"/>
      <c r="C258" s="431">
        <f>C253+C257</f>
        <v>52.75</v>
      </c>
      <c r="D258" s="642"/>
      <c r="E258" s="642"/>
      <c r="F258" s="642"/>
      <c r="G258" s="642"/>
    </row>
    <row r="259" spans="1:7" ht="12.75" customHeight="1" x14ac:dyDescent="0.25">
      <c r="A259" s="429" t="s">
        <v>74</v>
      </c>
      <c r="B259" s="430">
        <v>0.2631</v>
      </c>
      <c r="C259" s="431">
        <f>C258*B259</f>
        <v>13.878525</v>
      </c>
      <c r="D259" s="642"/>
      <c r="E259" s="642"/>
      <c r="F259" s="642"/>
      <c r="G259" s="642"/>
    </row>
    <row r="260" spans="1:7" ht="12.75" customHeight="1" x14ac:dyDescent="0.25">
      <c r="A260" s="429" t="s">
        <v>75</v>
      </c>
      <c r="B260" s="643">
        <f>C258+C259</f>
        <v>66.628524999999996</v>
      </c>
      <c r="C260" s="643"/>
      <c r="D260" s="642"/>
      <c r="E260" s="642"/>
      <c r="F260" s="642"/>
      <c r="G260" s="642"/>
    </row>
    <row r="261" spans="1:7" ht="14.25" x14ac:dyDescent="0.2">
      <c r="A261" s="645"/>
      <c r="B261" s="645"/>
      <c r="C261" s="645"/>
      <c r="D261" s="645"/>
      <c r="E261" s="645"/>
      <c r="F261" s="645"/>
      <c r="G261" s="645"/>
    </row>
    <row r="262" spans="1:7" ht="12.75" customHeight="1" x14ac:dyDescent="0.2">
      <c r="A262" s="634" t="s">
        <v>546</v>
      </c>
      <c r="B262" s="635"/>
      <c r="C262" s="635"/>
      <c r="D262" s="636"/>
      <c r="E262" s="637" t="s">
        <v>438</v>
      </c>
      <c r="F262" s="638"/>
      <c r="G262" s="60" t="s">
        <v>6</v>
      </c>
    </row>
    <row r="263" spans="1:7" ht="15" x14ac:dyDescent="0.25">
      <c r="A263" s="419" t="s">
        <v>385</v>
      </c>
      <c r="B263" s="419" t="s">
        <v>56</v>
      </c>
      <c r="C263" s="419" t="s">
        <v>57</v>
      </c>
      <c r="D263" s="419" t="s">
        <v>36</v>
      </c>
      <c r="E263" s="419" t="s">
        <v>58</v>
      </c>
      <c r="F263" s="419" t="s">
        <v>389</v>
      </c>
      <c r="G263" s="419" t="s">
        <v>59</v>
      </c>
    </row>
    <row r="264" spans="1:7" ht="14.25" x14ac:dyDescent="0.2">
      <c r="A264" s="420" t="s">
        <v>124</v>
      </c>
      <c r="B264" s="421" t="s">
        <v>60</v>
      </c>
      <c r="C264" s="422" t="s">
        <v>123</v>
      </c>
      <c r="D264" s="442">
        <v>0.5</v>
      </c>
      <c r="E264" s="424">
        <v>12.95</v>
      </c>
      <c r="F264" s="424" t="s">
        <v>390</v>
      </c>
      <c r="G264" s="424">
        <f>ROUND(E264*D264,2)</f>
        <v>6.48</v>
      </c>
    </row>
    <row r="265" spans="1:7" ht="14.25" x14ac:dyDescent="0.2">
      <c r="A265" s="420" t="s">
        <v>241</v>
      </c>
      <c r="B265" s="421" t="s">
        <v>60</v>
      </c>
      <c r="C265" s="422" t="s">
        <v>135</v>
      </c>
      <c r="D265" s="442">
        <v>0.5</v>
      </c>
      <c r="E265" s="424">
        <v>15.34</v>
      </c>
      <c r="F265" s="424" t="s">
        <v>390</v>
      </c>
      <c r="G265" s="424">
        <f>ROUND(E265*D265,2)</f>
        <v>7.67</v>
      </c>
    </row>
    <row r="266" spans="1:7" ht="15" x14ac:dyDescent="0.25">
      <c r="A266" s="639" t="s">
        <v>61</v>
      </c>
      <c r="B266" s="639"/>
      <c r="C266" s="639"/>
      <c r="D266" s="639"/>
      <c r="E266" s="639"/>
      <c r="F266" s="639"/>
      <c r="G266" s="424">
        <f>SUM(G264:G265)</f>
        <v>14.15</v>
      </c>
    </row>
    <row r="267" spans="1:7" ht="15" x14ac:dyDescent="0.25">
      <c r="A267" s="640"/>
      <c r="B267" s="640"/>
      <c r="C267" s="640"/>
      <c r="D267" s="640"/>
      <c r="E267" s="640"/>
      <c r="F267" s="640"/>
      <c r="G267" s="640"/>
    </row>
    <row r="268" spans="1:7" ht="15" x14ac:dyDescent="0.25">
      <c r="A268" s="419" t="s">
        <v>62</v>
      </c>
      <c r="B268" s="419" t="s">
        <v>56</v>
      </c>
      <c r="C268" s="419" t="s">
        <v>57</v>
      </c>
      <c r="D268" s="419" t="s">
        <v>36</v>
      </c>
      <c r="E268" s="419" t="s">
        <v>58</v>
      </c>
      <c r="F268" s="419" t="s">
        <v>389</v>
      </c>
      <c r="G268" s="419" t="s">
        <v>59</v>
      </c>
    </row>
    <row r="269" spans="1:7" ht="14.25" x14ac:dyDescent="0.2">
      <c r="A269" s="454" t="s">
        <v>547</v>
      </c>
      <c r="B269" s="421" t="s">
        <v>6</v>
      </c>
      <c r="C269" s="451" t="s">
        <v>548</v>
      </c>
      <c r="D269" s="442">
        <v>1</v>
      </c>
      <c r="E269" s="421">
        <v>12.72</v>
      </c>
      <c r="F269" s="421" t="s">
        <v>390</v>
      </c>
      <c r="G269" s="424">
        <f>PRODUCT(D269,E269)</f>
        <v>12.72</v>
      </c>
    </row>
    <row r="270" spans="1:7" ht="15" x14ac:dyDescent="0.25">
      <c r="A270" s="639" t="s">
        <v>61</v>
      </c>
      <c r="B270" s="639"/>
      <c r="C270" s="639"/>
      <c r="D270" s="639"/>
      <c r="E270" s="639"/>
      <c r="F270" s="639"/>
      <c r="G270" s="428">
        <f>SUM(G269:G269)</f>
        <v>12.72</v>
      </c>
    </row>
    <row r="271" spans="1:7" ht="14.25" x14ac:dyDescent="0.2">
      <c r="A271" s="645"/>
      <c r="B271" s="645"/>
      <c r="C271" s="645"/>
      <c r="D271" s="645"/>
      <c r="E271" s="645"/>
      <c r="F271" s="645"/>
      <c r="G271" s="645"/>
    </row>
    <row r="272" spans="1:7" ht="15" x14ac:dyDescent="0.25">
      <c r="A272" s="647" t="s">
        <v>63</v>
      </c>
      <c r="B272" s="647"/>
      <c r="C272" s="647"/>
      <c r="D272" s="647"/>
      <c r="E272" s="647"/>
      <c r="F272" s="647"/>
      <c r="G272" s="647"/>
    </row>
    <row r="273" spans="1:7" ht="15" x14ac:dyDescent="0.25">
      <c r="A273" s="419" t="s">
        <v>64</v>
      </c>
      <c r="B273" s="419" t="s">
        <v>65</v>
      </c>
      <c r="C273" s="419" t="s">
        <v>66</v>
      </c>
      <c r="D273" s="642" t="s">
        <v>549</v>
      </c>
      <c r="E273" s="642"/>
      <c r="F273" s="642"/>
      <c r="G273" s="642"/>
    </row>
    <row r="274" spans="1:7" ht="15" x14ac:dyDescent="0.25">
      <c r="A274" s="429" t="s">
        <v>67</v>
      </c>
      <c r="B274" s="430"/>
      <c r="C274" s="431">
        <f>G266</f>
        <v>14.15</v>
      </c>
      <c r="D274" s="642"/>
      <c r="E274" s="642"/>
      <c r="F274" s="642"/>
      <c r="G274" s="642"/>
    </row>
    <row r="275" spans="1:7" ht="15" x14ac:dyDescent="0.25">
      <c r="A275" s="429" t="s">
        <v>68</v>
      </c>
      <c r="B275" s="431"/>
      <c r="C275" s="431">
        <f>G270</f>
        <v>12.72</v>
      </c>
      <c r="D275" s="642"/>
      <c r="E275" s="642"/>
      <c r="F275" s="642"/>
      <c r="G275" s="642"/>
    </row>
    <row r="276" spans="1:7" ht="15" x14ac:dyDescent="0.25">
      <c r="A276" s="429" t="s">
        <v>69</v>
      </c>
      <c r="B276" s="429"/>
      <c r="C276" s="431">
        <v>0</v>
      </c>
      <c r="D276" s="642"/>
      <c r="E276" s="642"/>
      <c r="F276" s="642"/>
      <c r="G276" s="642"/>
    </row>
    <row r="277" spans="1:7" ht="15" x14ac:dyDescent="0.25">
      <c r="A277" s="429" t="s">
        <v>70</v>
      </c>
      <c r="B277" s="429"/>
      <c r="C277" s="431">
        <v>1</v>
      </c>
      <c r="D277" s="642"/>
      <c r="E277" s="642"/>
      <c r="F277" s="642"/>
      <c r="G277" s="642"/>
    </row>
    <row r="278" spans="1:7" ht="15" x14ac:dyDescent="0.25">
      <c r="A278" s="429" t="s">
        <v>71</v>
      </c>
      <c r="B278" s="429"/>
      <c r="C278" s="431">
        <f>C274+C276</f>
        <v>14.15</v>
      </c>
      <c r="D278" s="642"/>
      <c r="E278" s="642"/>
      <c r="F278" s="642"/>
      <c r="G278" s="642"/>
    </row>
    <row r="279" spans="1:7" ht="15" x14ac:dyDescent="0.25">
      <c r="A279" s="429" t="s">
        <v>72</v>
      </c>
      <c r="B279" s="429"/>
      <c r="C279" s="431">
        <f>(C274+C276)/C277</f>
        <v>14.15</v>
      </c>
      <c r="D279" s="642"/>
      <c r="E279" s="642"/>
      <c r="F279" s="642"/>
      <c r="G279" s="642"/>
    </row>
    <row r="280" spans="1:7" ht="15" x14ac:dyDescent="0.25">
      <c r="A280" s="429" t="s">
        <v>73</v>
      </c>
      <c r="B280" s="429"/>
      <c r="C280" s="431">
        <f>C275+C279</f>
        <v>26.87</v>
      </c>
      <c r="D280" s="642"/>
      <c r="E280" s="642"/>
      <c r="F280" s="642"/>
      <c r="G280" s="642"/>
    </row>
    <row r="281" spans="1:7" ht="15" x14ac:dyDescent="0.25">
      <c r="A281" s="429" t="s">
        <v>74</v>
      </c>
      <c r="B281" s="430">
        <v>0.2631</v>
      </c>
      <c r="C281" s="431">
        <f>C280*B281</f>
        <v>7.0694970000000001</v>
      </c>
      <c r="D281" s="642"/>
      <c r="E281" s="642"/>
      <c r="F281" s="642"/>
      <c r="G281" s="642"/>
    </row>
    <row r="282" spans="1:7" ht="15" x14ac:dyDescent="0.25">
      <c r="A282" s="429" t="s">
        <v>75</v>
      </c>
      <c r="B282" s="643">
        <f>C280+C281</f>
        <v>33.939497000000003</v>
      </c>
      <c r="C282" s="643"/>
      <c r="D282" s="642"/>
      <c r="E282" s="642"/>
      <c r="F282" s="642"/>
      <c r="G282" s="642"/>
    </row>
    <row r="283" spans="1:7" ht="14.25" x14ac:dyDescent="0.2">
      <c r="A283" s="645"/>
      <c r="B283" s="645"/>
      <c r="C283" s="645"/>
      <c r="D283" s="645"/>
      <c r="E283" s="645"/>
      <c r="F283" s="645"/>
      <c r="G283" s="645"/>
    </row>
    <row r="284" spans="1:7" ht="12.75" customHeight="1" x14ac:dyDescent="0.2">
      <c r="A284" s="634" t="s">
        <v>604</v>
      </c>
      <c r="B284" s="635"/>
      <c r="C284" s="635"/>
      <c r="D284" s="636"/>
      <c r="E284" s="637" t="s">
        <v>550</v>
      </c>
      <c r="F284" s="638"/>
      <c r="G284" s="60" t="s">
        <v>4</v>
      </c>
    </row>
    <row r="285" spans="1:7" ht="15" x14ac:dyDescent="0.25">
      <c r="A285" s="419" t="s">
        <v>385</v>
      </c>
      <c r="B285" s="419" t="s">
        <v>56</v>
      </c>
      <c r="C285" s="419" t="s">
        <v>57</v>
      </c>
      <c r="D285" s="419" t="s">
        <v>36</v>
      </c>
      <c r="E285" s="419" t="s">
        <v>58</v>
      </c>
      <c r="F285" s="419" t="s">
        <v>389</v>
      </c>
      <c r="G285" s="419" t="s">
        <v>59</v>
      </c>
    </row>
    <row r="286" spans="1:7" ht="14.25" x14ac:dyDescent="0.2">
      <c r="A286" s="420" t="s">
        <v>124</v>
      </c>
      <c r="B286" s="421" t="s">
        <v>60</v>
      </c>
      <c r="C286" s="422" t="s">
        <v>123</v>
      </c>
      <c r="D286" s="442">
        <v>0.13300000000000001</v>
      </c>
      <c r="E286" s="424">
        <v>12.95</v>
      </c>
      <c r="F286" s="424" t="s">
        <v>390</v>
      </c>
      <c r="G286" s="424">
        <f>ROUND(E286*D286,2)</f>
        <v>1.72</v>
      </c>
    </row>
    <row r="287" spans="1:7" ht="14.25" x14ac:dyDescent="0.2">
      <c r="A287" s="420" t="s">
        <v>114</v>
      </c>
      <c r="B287" s="421" t="s">
        <v>60</v>
      </c>
      <c r="C287" s="422" t="s">
        <v>135</v>
      </c>
      <c r="D287" s="442">
        <v>0.13300000000000001</v>
      </c>
      <c r="E287" s="424">
        <v>15.34</v>
      </c>
      <c r="F287" s="424" t="s">
        <v>390</v>
      </c>
      <c r="G287" s="424">
        <f>ROUND(E287*D287,2)</f>
        <v>2.04</v>
      </c>
    </row>
    <row r="288" spans="1:7" ht="15" x14ac:dyDescent="0.25">
      <c r="A288" s="639" t="s">
        <v>61</v>
      </c>
      <c r="B288" s="639"/>
      <c r="C288" s="639"/>
      <c r="D288" s="639"/>
      <c r="E288" s="639"/>
      <c r="F288" s="639"/>
      <c r="G288" s="424">
        <f>SUM(G286:G287)</f>
        <v>3.76</v>
      </c>
    </row>
    <row r="289" spans="1:7" ht="15" x14ac:dyDescent="0.25">
      <c r="A289" s="640"/>
      <c r="B289" s="640"/>
      <c r="C289" s="640"/>
      <c r="D289" s="640"/>
      <c r="E289" s="640"/>
      <c r="F289" s="640"/>
      <c r="G289" s="640"/>
    </row>
    <row r="290" spans="1:7" ht="15" x14ac:dyDescent="0.25">
      <c r="A290" s="419" t="s">
        <v>62</v>
      </c>
      <c r="B290" s="419" t="s">
        <v>56</v>
      </c>
      <c r="C290" s="419" t="s">
        <v>57</v>
      </c>
      <c r="D290" s="419" t="s">
        <v>36</v>
      </c>
      <c r="E290" s="419" t="s">
        <v>58</v>
      </c>
      <c r="F290" s="419" t="s">
        <v>389</v>
      </c>
      <c r="G290" s="419" t="s">
        <v>59</v>
      </c>
    </row>
    <row r="291" spans="1:7" ht="14.25" x14ac:dyDescent="0.2">
      <c r="A291" s="455" t="s">
        <v>597</v>
      </c>
      <c r="B291" s="421" t="s">
        <v>4</v>
      </c>
      <c r="C291" s="456" t="s">
        <v>605</v>
      </c>
      <c r="D291" s="423">
        <v>1</v>
      </c>
      <c r="E291" s="421">
        <v>67.92</v>
      </c>
      <c r="F291" s="421" t="s">
        <v>390</v>
      </c>
      <c r="G291" s="424">
        <f>PRODUCT(D291,E291)</f>
        <v>67.92</v>
      </c>
    </row>
    <row r="292" spans="1:7" ht="15" x14ac:dyDescent="0.25">
      <c r="A292" s="639" t="s">
        <v>61</v>
      </c>
      <c r="B292" s="639"/>
      <c r="C292" s="639"/>
      <c r="D292" s="639"/>
      <c r="E292" s="639"/>
      <c r="F292" s="639"/>
      <c r="G292" s="428">
        <f>SUM(G291:G291)</f>
        <v>67.92</v>
      </c>
    </row>
    <row r="293" spans="1:7" ht="14.25" x14ac:dyDescent="0.2">
      <c r="A293" s="645"/>
      <c r="B293" s="645"/>
      <c r="C293" s="645"/>
      <c r="D293" s="645"/>
      <c r="E293" s="645"/>
      <c r="F293" s="645"/>
      <c r="G293" s="645"/>
    </row>
    <row r="294" spans="1:7" ht="15" x14ac:dyDescent="0.25">
      <c r="A294" s="647" t="s">
        <v>63</v>
      </c>
      <c r="B294" s="647"/>
      <c r="C294" s="647"/>
      <c r="D294" s="647"/>
      <c r="E294" s="647"/>
      <c r="F294" s="647"/>
      <c r="G294" s="647"/>
    </row>
    <row r="295" spans="1:7" ht="15" x14ac:dyDescent="0.25">
      <c r="A295" s="419" t="s">
        <v>64</v>
      </c>
      <c r="B295" s="419" t="s">
        <v>65</v>
      </c>
      <c r="C295" s="419" t="s">
        <v>66</v>
      </c>
      <c r="D295" s="642" t="s">
        <v>606</v>
      </c>
      <c r="E295" s="642"/>
      <c r="F295" s="642"/>
      <c r="G295" s="642"/>
    </row>
    <row r="296" spans="1:7" ht="15" x14ac:dyDescent="0.25">
      <c r="A296" s="429" t="s">
        <v>67</v>
      </c>
      <c r="B296" s="430"/>
      <c r="C296" s="431">
        <f>G288</f>
        <v>3.76</v>
      </c>
      <c r="D296" s="642"/>
      <c r="E296" s="642"/>
      <c r="F296" s="642"/>
      <c r="G296" s="642"/>
    </row>
    <row r="297" spans="1:7" ht="15" x14ac:dyDescent="0.25">
      <c r="A297" s="429" t="s">
        <v>68</v>
      </c>
      <c r="B297" s="431"/>
      <c r="C297" s="431">
        <f>G292</f>
        <v>67.92</v>
      </c>
      <c r="D297" s="642"/>
      <c r="E297" s="642"/>
      <c r="F297" s="642"/>
      <c r="G297" s="642"/>
    </row>
    <row r="298" spans="1:7" ht="15" x14ac:dyDescent="0.25">
      <c r="A298" s="429" t="s">
        <v>69</v>
      </c>
      <c r="B298" s="429"/>
      <c r="C298" s="431">
        <v>0</v>
      </c>
      <c r="D298" s="642"/>
      <c r="E298" s="642"/>
      <c r="F298" s="642"/>
      <c r="G298" s="642"/>
    </row>
    <row r="299" spans="1:7" ht="15" x14ac:dyDescent="0.25">
      <c r="A299" s="429" t="s">
        <v>70</v>
      </c>
      <c r="B299" s="429"/>
      <c r="C299" s="431">
        <v>1</v>
      </c>
      <c r="D299" s="642"/>
      <c r="E299" s="642"/>
      <c r="F299" s="642"/>
      <c r="G299" s="642"/>
    </row>
    <row r="300" spans="1:7" ht="15" x14ac:dyDescent="0.25">
      <c r="A300" s="429" t="s">
        <v>71</v>
      </c>
      <c r="B300" s="429"/>
      <c r="C300" s="431">
        <f>C296+C298</f>
        <v>3.76</v>
      </c>
      <c r="D300" s="642"/>
      <c r="E300" s="642"/>
      <c r="F300" s="642"/>
      <c r="G300" s="642"/>
    </row>
    <row r="301" spans="1:7" ht="15" x14ac:dyDescent="0.25">
      <c r="A301" s="429" t="s">
        <v>72</v>
      </c>
      <c r="B301" s="429"/>
      <c r="C301" s="431">
        <f>(C296+C298)/C299</f>
        <v>3.76</v>
      </c>
      <c r="D301" s="642"/>
      <c r="E301" s="642"/>
      <c r="F301" s="642"/>
      <c r="G301" s="642"/>
    </row>
    <row r="302" spans="1:7" ht="15" x14ac:dyDescent="0.25">
      <c r="A302" s="429" t="s">
        <v>73</v>
      </c>
      <c r="B302" s="429"/>
      <c r="C302" s="431">
        <f>C297+C301</f>
        <v>71.680000000000007</v>
      </c>
      <c r="D302" s="642"/>
      <c r="E302" s="642"/>
      <c r="F302" s="642"/>
      <c r="G302" s="642"/>
    </row>
    <row r="303" spans="1:7" ht="15" x14ac:dyDescent="0.25">
      <c r="A303" s="429" t="s">
        <v>74</v>
      </c>
      <c r="B303" s="430">
        <v>0.2631</v>
      </c>
      <c r="C303" s="431">
        <f>C302*B303</f>
        <v>18.859008000000003</v>
      </c>
      <c r="D303" s="642"/>
      <c r="E303" s="642"/>
      <c r="F303" s="642"/>
      <c r="G303" s="642"/>
    </row>
    <row r="304" spans="1:7" ht="15" x14ac:dyDescent="0.25">
      <c r="A304" s="429" t="s">
        <v>75</v>
      </c>
      <c r="B304" s="643">
        <f>C302+C303</f>
        <v>90.53900800000001</v>
      </c>
      <c r="C304" s="643"/>
      <c r="D304" s="642"/>
      <c r="E304" s="642"/>
      <c r="F304" s="642"/>
      <c r="G304" s="642"/>
    </row>
    <row r="305" spans="1:7" ht="14.25" x14ac:dyDescent="0.2">
      <c r="A305" s="645"/>
      <c r="B305" s="645"/>
      <c r="C305" s="645"/>
      <c r="D305" s="645"/>
      <c r="E305" s="645"/>
      <c r="F305" s="645"/>
      <c r="G305" s="645"/>
    </row>
    <row r="306" spans="1:7" ht="42" customHeight="1" x14ac:dyDescent="0.2">
      <c r="A306" s="634" t="s">
        <v>633</v>
      </c>
      <c r="B306" s="635"/>
      <c r="C306" s="635"/>
      <c r="D306" s="636"/>
      <c r="E306" s="637" t="s">
        <v>607</v>
      </c>
      <c r="F306" s="638"/>
      <c r="G306" s="60" t="s">
        <v>4</v>
      </c>
    </row>
    <row r="307" spans="1:7" ht="15" x14ac:dyDescent="0.25">
      <c r="A307" s="419" t="s">
        <v>385</v>
      </c>
      <c r="B307" s="419" t="s">
        <v>56</v>
      </c>
      <c r="C307" s="419" t="s">
        <v>57</v>
      </c>
      <c r="D307" s="419" t="s">
        <v>36</v>
      </c>
      <c r="E307" s="419" t="s">
        <v>58</v>
      </c>
      <c r="F307" s="419" t="s">
        <v>389</v>
      </c>
      <c r="G307" s="419" t="s">
        <v>59</v>
      </c>
    </row>
    <row r="308" spans="1:7" ht="14.25" x14ac:dyDescent="0.2">
      <c r="A308" s="454" t="s">
        <v>124</v>
      </c>
      <c r="B308" s="421" t="s">
        <v>60</v>
      </c>
      <c r="C308" s="422" t="s">
        <v>123</v>
      </c>
      <c r="D308" s="423">
        <v>1.3</v>
      </c>
      <c r="E308" s="424">
        <v>12.95</v>
      </c>
      <c r="F308" s="424" t="s">
        <v>390</v>
      </c>
      <c r="G308" s="424">
        <f>TRUNC(E308*D308,2)</f>
        <v>16.829999999999998</v>
      </c>
    </row>
    <row r="309" spans="1:7" ht="14.25" x14ac:dyDescent="0.2">
      <c r="A309" s="454" t="s">
        <v>634</v>
      </c>
      <c r="B309" s="421" t="s">
        <v>60</v>
      </c>
      <c r="C309" s="422" t="s">
        <v>635</v>
      </c>
      <c r="D309" s="423">
        <v>1.3</v>
      </c>
      <c r="E309" s="424">
        <v>15.34</v>
      </c>
      <c r="F309" s="424" t="s">
        <v>390</v>
      </c>
      <c r="G309" s="424">
        <f t="shared" ref="G309:G311" si="3">TRUNC(E309*D309,2)</f>
        <v>19.940000000000001</v>
      </c>
    </row>
    <row r="310" spans="1:7" ht="14.25" x14ac:dyDescent="0.2">
      <c r="A310" s="454" t="s">
        <v>241</v>
      </c>
      <c r="B310" s="421" t="s">
        <v>60</v>
      </c>
      <c r="C310" s="422" t="s">
        <v>246</v>
      </c>
      <c r="D310" s="423">
        <v>5.14</v>
      </c>
      <c r="E310" s="424">
        <v>15.34</v>
      </c>
      <c r="F310" s="424" t="s">
        <v>390</v>
      </c>
      <c r="G310" s="424">
        <f t="shared" si="3"/>
        <v>78.84</v>
      </c>
    </row>
    <row r="311" spans="1:7" ht="14.25" x14ac:dyDescent="0.2">
      <c r="A311" s="454" t="s">
        <v>636</v>
      </c>
      <c r="B311" s="421" t="s">
        <v>60</v>
      </c>
      <c r="C311" s="422" t="s">
        <v>637</v>
      </c>
      <c r="D311" s="423">
        <v>6.25</v>
      </c>
      <c r="E311" s="424">
        <v>11.28</v>
      </c>
      <c r="F311" s="424" t="s">
        <v>390</v>
      </c>
      <c r="G311" s="424">
        <f t="shared" si="3"/>
        <v>70.5</v>
      </c>
    </row>
    <row r="312" spans="1:7" ht="15" x14ac:dyDescent="0.25">
      <c r="A312" s="639" t="s">
        <v>61</v>
      </c>
      <c r="B312" s="639"/>
      <c r="C312" s="639"/>
      <c r="D312" s="639"/>
      <c r="E312" s="639"/>
      <c r="F312" s="639"/>
      <c r="G312" s="424">
        <f>SUM(G308:G311)</f>
        <v>186.11</v>
      </c>
    </row>
    <row r="313" spans="1:7" ht="15" x14ac:dyDescent="0.25">
      <c r="A313" s="640"/>
      <c r="B313" s="640"/>
      <c r="C313" s="640"/>
      <c r="D313" s="640"/>
      <c r="E313" s="640"/>
      <c r="F313" s="640"/>
      <c r="G313" s="640"/>
    </row>
    <row r="314" spans="1:7" ht="15" x14ac:dyDescent="0.25">
      <c r="A314" s="419" t="s">
        <v>62</v>
      </c>
      <c r="B314" s="419" t="s">
        <v>56</v>
      </c>
      <c r="C314" s="419" t="s">
        <v>57</v>
      </c>
      <c r="D314" s="419" t="s">
        <v>36</v>
      </c>
      <c r="E314" s="419" t="s">
        <v>58</v>
      </c>
      <c r="F314" s="419" t="s">
        <v>389</v>
      </c>
      <c r="G314" s="419" t="s">
        <v>59</v>
      </c>
    </row>
    <row r="315" spans="1:7" ht="14.25" x14ac:dyDescent="0.2">
      <c r="A315" s="454" t="s">
        <v>638</v>
      </c>
      <c r="B315" s="421" t="s">
        <v>231</v>
      </c>
      <c r="C315" s="444" t="s">
        <v>639</v>
      </c>
      <c r="D315" s="423">
        <v>6.3E-3</v>
      </c>
      <c r="E315" s="424">
        <v>40.98</v>
      </c>
      <c r="F315" s="421" t="s">
        <v>390</v>
      </c>
      <c r="G315" s="424">
        <f>TRUNC(E315*D315,2)</f>
        <v>0.25</v>
      </c>
    </row>
    <row r="316" spans="1:7" ht="14.25" x14ac:dyDescent="0.2">
      <c r="A316" s="454" t="s">
        <v>640</v>
      </c>
      <c r="B316" s="421" t="s">
        <v>303</v>
      </c>
      <c r="C316" s="444" t="s">
        <v>641</v>
      </c>
      <c r="D316" s="423">
        <v>0.2114</v>
      </c>
      <c r="E316" s="424">
        <v>66.599999999999994</v>
      </c>
      <c r="F316" s="421" t="s">
        <v>390</v>
      </c>
      <c r="G316" s="424">
        <f t="shared" ref="G316:G323" si="4">TRUNC(E316*D316,2)</f>
        <v>14.07</v>
      </c>
    </row>
    <row r="317" spans="1:7" ht="14.25" x14ac:dyDescent="0.2">
      <c r="A317" s="454" t="s">
        <v>642</v>
      </c>
      <c r="B317" s="421" t="s">
        <v>303</v>
      </c>
      <c r="C317" s="444" t="s">
        <v>643</v>
      </c>
      <c r="D317" s="423">
        <v>6.1199999999999997E-2</v>
      </c>
      <c r="E317" s="424">
        <v>64.62</v>
      </c>
      <c r="F317" s="421" t="s">
        <v>390</v>
      </c>
      <c r="G317" s="424">
        <f t="shared" si="4"/>
        <v>3.95</v>
      </c>
    </row>
    <row r="318" spans="1:7" ht="14.25" x14ac:dyDescent="0.2">
      <c r="A318" s="454" t="s">
        <v>644</v>
      </c>
      <c r="B318" s="421" t="s">
        <v>303</v>
      </c>
      <c r="C318" s="444" t="s">
        <v>645</v>
      </c>
      <c r="D318" s="423">
        <v>0.1429</v>
      </c>
      <c r="E318" s="424">
        <v>64.62</v>
      </c>
      <c r="F318" s="421" t="s">
        <v>390</v>
      </c>
      <c r="G318" s="424">
        <f t="shared" si="4"/>
        <v>9.23</v>
      </c>
    </row>
    <row r="319" spans="1:7" ht="14.25" x14ac:dyDescent="0.2">
      <c r="A319" s="454" t="s">
        <v>646</v>
      </c>
      <c r="B319" s="421" t="s">
        <v>231</v>
      </c>
      <c r="C319" s="444" t="s">
        <v>647</v>
      </c>
      <c r="D319" s="423">
        <v>74.34</v>
      </c>
      <c r="E319" s="424">
        <v>0.34</v>
      </c>
      <c r="F319" s="421" t="s">
        <v>390</v>
      </c>
      <c r="G319" s="424">
        <f t="shared" si="4"/>
        <v>25.27</v>
      </c>
    </row>
    <row r="320" spans="1:7" ht="28.5" x14ac:dyDescent="0.2">
      <c r="A320" s="457" t="s">
        <v>648</v>
      </c>
      <c r="B320" s="421" t="s">
        <v>4</v>
      </c>
      <c r="C320" s="444" t="s">
        <v>649</v>
      </c>
      <c r="D320" s="423">
        <v>0.75</v>
      </c>
      <c r="E320" s="424">
        <v>1183.33</v>
      </c>
      <c r="F320" s="421" t="s">
        <v>390</v>
      </c>
      <c r="G320" s="424">
        <f t="shared" si="4"/>
        <v>887.49</v>
      </c>
    </row>
    <row r="321" spans="1:7" ht="14.25" x14ac:dyDescent="0.2">
      <c r="A321" s="453" t="s">
        <v>650</v>
      </c>
      <c r="B321" s="421" t="s">
        <v>231</v>
      </c>
      <c r="C321" s="444" t="s">
        <v>651</v>
      </c>
      <c r="D321" s="423">
        <v>1.8</v>
      </c>
      <c r="E321" s="424">
        <v>4.71</v>
      </c>
      <c r="F321" s="421" t="s">
        <v>390</v>
      </c>
      <c r="G321" s="424">
        <f t="shared" si="4"/>
        <v>8.4700000000000006</v>
      </c>
    </row>
    <row r="322" spans="1:7" ht="14.25" x14ac:dyDescent="0.2">
      <c r="A322" s="453" t="s">
        <v>652</v>
      </c>
      <c r="B322" s="421" t="s">
        <v>167</v>
      </c>
      <c r="C322" s="458" t="s">
        <v>653</v>
      </c>
      <c r="D322" s="423">
        <v>3.0000000000000001E-3</v>
      </c>
      <c r="E322" s="424">
        <v>35.630000000000003</v>
      </c>
      <c r="F322" s="421" t="s">
        <v>390</v>
      </c>
      <c r="G322" s="424">
        <f t="shared" si="4"/>
        <v>0.1</v>
      </c>
    </row>
    <row r="323" spans="1:7" ht="28.5" x14ac:dyDescent="0.2">
      <c r="A323" s="453" t="s">
        <v>654</v>
      </c>
      <c r="B323" s="421" t="s">
        <v>5</v>
      </c>
      <c r="C323" s="451" t="s">
        <v>655</v>
      </c>
      <c r="D323" s="423">
        <v>2.5249999999999999</v>
      </c>
      <c r="E323" s="424">
        <v>10.17</v>
      </c>
      <c r="F323" s="421" t="s">
        <v>390</v>
      </c>
      <c r="G323" s="424">
        <f t="shared" si="4"/>
        <v>25.67</v>
      </c>
    </row>
    <row r="324" spans="1:7" ht="15" x14ac:dyDescent="0.25">
      <c r="A324" s="639" t="s">
        <v>61</v>
      </c>
      <c r="B324" s="639"/>
      <c r="C324" s="639"/>
      <c r="D324" s="639"/>
      <c r="E324" s="639"/>
      <c r="F324" s="639"/>
      <c r="G324" s="428">
        <f>SUM(G315:G323)</f>
        <v>974.5</v>
      </c>
    </row>
    <row r="325" spans="1:7" ht="14.25" x14ac:dyDescent="0.2">
      <c r="A325" s="641"/>
      <c r="B325" s="641"/>
      <c r="C325" s="641"/>
      <c r="D325" s="641"/>
      <c r="E325" s="641"/>
      <c r="F325" s="641"/>
      <c r="G325" s="641"/>
    </row>
    <row r="326" spans="1:7" ht="15" x14ac:dyDescent="0.25">
      <c r="A326" s="459" t="s">
        <v>416</v>
      </c>
      <c r="B326" s="419" t="s">
        <v>56</v>
      </c>
      <c r="C326" s="419" t="s">
        <v>57</v>
      </c>
      <c r="D326" s="419" t="s">
        <v>36</v>
      </c>
      <c r="E326" s="419" t="s">
        <v>58</v>
      </c>
      <c r="F326" s="419" t="s">
        <v>389</v>
      </c>
      <c r="G326" s="419" t="s">
        <v>59</v>
      </c>
    </row>
    <row r="327" spans="1:7" ht="14.25" x14ac:dyDescent="0.2">
      <c r="A327" s="453" t="s">
        <v>656</v>
      </c>
      <c r="B327" s="421" t="s">
        <v>60</v>
      </c>
      <c r="C327" s="444" t="s">
        <v>657</v>
      </c>
      <c r="D327" s="421">
        <v>0.10920000000000001</v>
      </c>
      <c r="E327" s="421">
        <v>23.43</v>
      </c>
      <c r="F327" s="421" t="s">
        <v>390</v>
      </c>
      <c r="G327" s="424">
        <f>PRODUCT(D327,E327)</f>
        <v>2.5585560000000003</v>
      </c>
    </row>
    <row r="328" spans="1:7" ht="15" x14ac:dyDescent="0.25">
      <c r="A328" s="639" t="s">
        <v>61</v>
      </c>
      <c r="B328" s="639"/>
      <c r="C328" s="639"/>
      <c r="D328" s="639"/>
      <c r="E328" s="639"/>
      <c r="F328" s="460"/>
      <c r="G328" s="428">
        <f>SUM(G327:G327)</f>
        <v>2.5585560000000003</v>
      </c>
    </row>
    <row r="329" spans="1:7" ht="14.25" x14ac:dyDescent="0.2">
      <c r="A329" s="645"/>
      <c r="B329" s="645"/>
      <c r="C329" s="645"/>
      <c r="D329" s="645"/>
      <c r="E329" s="645"/>
      <c r="F329" s="645"/>
      <c r="G329" s="645"/>
    </row>
    <row r="330" spans="1:7" ht="15" x14ac:dyDescent="0.25">
      <c r="A330" s="646" t="s">
        <v>63</v>
      </c>
      <c r="B330" s="646"/>
      <c r="C330" s="646"/>
      <c r="D330" s="646"/>
      <c r="E330" s="646"/>
      <c r="F330" s="646"/>
      <c r="G330" s="646"/>
    </row>
    <row r="331" spans="1:7" ht="15" x14ac:dyDescent="0.25">
      <c r="A331" s="419" t="s">
        <v>64</v>
      </c>
      <c r="B331" s="419" t="s">
        <v>65</v>
      </c>
      <c r="C331" s="419" t="s">
        <v>66</v>
      </c>
      <c r="D331" s="642" t="s">
        <v>842</v>
      </c>
      <c r="E331" s="642"/>
      <c r="F331" s="642"/>
      <c r="G331" s="642"/>
    </row>
    <row r="332" spans="1:7" ht="15" x14ac:dyDescent="0.25">
      <c r="A332" s="429" t="s">
        <v>67</v>
      </c>
      <c r="B332" s="430"/>
      <c r="C332" s="431">
        <f>G312</f>
        <v>186.11</v>
      </c>
      <c r="D332" s="642"/>
      <c r="E332" s="642"/>
      <c r="F332" s="642"/>
      <c r="G332" s="642"/>
    </row>
    <row r="333" spans="1:7" ht="15" x14ac:dyDescent="0.25">
      <c r="A333" s="429" t="s">
        <v>68</v>
      </c>
      <c r="B333" s="431"/>
      <c r="C333" s="431">
        <f>G324</f>
        <v>974.5</v>
      </c>
      <c r="D333" s="642"/>
      <c r="E333" s="642"/>
      <c r="F333" s="642"/>
      <c r="G333" s="642"/>
    </row>
    <row r="334" spans="1:7" ht="15" x14ac:dyDescent="0.25">
      <c r="A334" s="429" t="s">
        <v>69</v>
      </c>
      <c r="B334" s="429"/>
      <c r="C334" s="431">
        <f>G328</f>
        <v>2.5585560000000003</v>
      </c>
      <c r="D334" s="642"/>
      <c r="E334" s="642"/>
      <c r="F334" s="642"/>
      <c r="G334" s="642"/>
    </row>
    <row r="335" spans="1:7" ht="15" x14ac:dyDescent="0.25">
      <c r="A335" s="429" t="s">
        <v>70</v>
      </c>
      <c r="B335" s="429"/>
      <c r="C335" s="431">
        <v>1</v>
      </c>
      <c r="D335" s="642"/>
      <c r="E335" s="642"/>
      <c r="F335" s="642"/>
      <c r="G335" s="642"/>
    </row>
    <row r="336" spans="1:7" ht="15" x14ac:dyDescent="0.25">
      <c r="A336" s="429" t="s">
        <v>71</v>
      </c>
      <c r="B336" s="429"/>
      <c r="C336" s="431">
        <f>C332+C334</f>
        <v>188.66855600000002</v>
      </c>
      <c r="D336" s="642"/>
      <c r="E336" s="642"/>
      <c r="F336" s="642"/>
      <c r="G336" s="642"/>
    </row>
    <row r="337" spans="1:7" ht="15" x14ac:dyDescent="0.25">
      <c r="A337" s="429" t="s">
        <v>72</v>
      </c>
      <c r="B337" s="429"/>
      <c r="C337" s="431">
        <f>(C332+C334)/C335</f>
        <v>188.66855600000002</v>
      </c>
      <c r="D337" s="642"/>
      <c r="E337" s="642"/>
      <c r="F337" s="642"/>
      <c r="G337" s="642"/>
    </row>
    <row r="338" spans="1:7" ht="15" x14ac:dyDescent="0.25">
      <c r="A338" s="429" t="s">
        <v>73</v>
      </c>
      <c r="B338" s="429"/>
      <c r="C338" s="431">
        <f>C333+C337</f>
        <v>1163.1685560000001</v>
      </c>
      <c r="D338" s="642"/>
      <c r="E338" s="642"/>
      <c r="F338" s="642"/>
      <c r="G338" s="642"/>
    </row>
    <row r="339" spans="1:7" ht="15" x14ac:dyDescent="0.25">
      <c r="A339" s="429" t="s">
        <v>74</v>
      </c>
      <c r="B339" s="430">
        <v>0.2631</v>
      </c>
      <c r="C339" s="431">
        <f>C338*B339</f>
        <v>306.02964708360003</v>
      </c>
      <c r="D339" s="642"/>
      <c r="E339" s="642"/>
      <c r="F339" s="642"/>
      <c r="G339" s="642"/>
    </row>
    <row r="340" spans="1:7" ht="15" x14ac:dyDescent="0.25">
      <c r="A340" s="429" t="s">
        <v>75</v>
      </c>
      <c r="B340" s="643">
        <f>C338+C339</f>
        <v>1469.1982030836002</v>
      </c>
      <c r="C340" s="643"/>
      <c r="D340" s="642"/>
      <c r="E340" s="642"/>
      <c r="F340" s="642"/>
      <c r="G340" s="642"/>
    </row>
    <row r="341" spans="1:7" ht="15" x14ac:dyDescent="0.25">
      <c r="A341" s="640"/>
      <c r="B341" s="640"/>
      <c r="C341" s="640"/>
      <c r="D341" s="640"/>
      <c r="E341" s="640"/>
      <c r="F341" s="640"/>
      <c r="G341" s="640"/>
    </row>
    <row r="342" spans="1:7" ht="47.25" customHeight="1" x14ac:dyDescent="0.2">
      <c r="A342" s="634" t="s">
        <v>834</v>
      </c>
      <c r="B342" s="635"/>
      <c r="C342" s="635"/>
      <c r="D342" s="636"/>
      <c r="E342" s="637" t="s">
        <v>677</v>
      </c>
      <c r="F342" s="638"/>
      <c r="G342" s="60" t="s">
        <v>4</v>
      </c>
    </row>
    <row r="343" spans="1:7" ht="15" x14ac:dyDescent="0.25">
      <c r="A343" s="419" t="s">
        <v>658</v>
      </c>
      <c r="B343" s="419" t="s">
        <v>56</v>
      </c>
      <c r="C343" s="419" t="s">
        <v>57</v>
      </c>
      <c r="D343" s="419" t="s">
        <v>36</v>
      </c>
      <c r="E343" s="419" t="s">
        <v>58</v>
      </c>
      <c r="F343" s="419" t="s">
        <v>389</v>
      </c>
      <c r="G343" s="419" t="s">
        <v>59</v>
      </c>
    </row>
    <row r="344" spans="1:7" ht="14.25" x14ac:dyDescent="0.2">
      <c r="A344" s="420" t="s">
        <v>124</v>
      </c>
      <c r="B344" s="421" t="s">
        <v>60</v>
      </c>
      <c r="C344" s="422" t="s">
        <v>123</v>
      </c>
      <c r="D344" s="423">
        <v>3.25</v>
      </c>
      <c r="E344" s="424">
        <v>12.95</v>
      </c>
      <c r="F344" s="424" t="s">
        <v>390</v>
      </c>
      <c r="G344" s="424">
        <f>ROUND(E344*D344,2)</f>
        <v>42.09</v>
      </c>
    </row>
    <row r="345" spans="1:7" ht="14.25" x14ac:dyDescent="0.2">
      <c r="A345" s="420" t="s">
        <v>634</v>
      </c>
      <c r="B345" s="421" t="s">
        <v>60</v>
      </c>
      <c r="C345" s="422" t="s">
        <v>635</v>
      </c>
      <c r="D345" s="423">
        <v>3.25</v>
      </c>
      <c r="E345" s="424">
        <v>15.34</v>
      </c>
      <c r="F345" s="424" t="s">
        <v>390</v>
      </c>
      <c r="G345" s="424">
        <f>ROUND(E345*D345,2)</f>
        <v>49.86</v>
      </c>
    </row>
    <row r="346" spans="1:7" ht="14.25" x14ac:dyDescent="0.2">
      <c r="A346" s="420" t="s">
        <v>241</v>
      </c>
      <c r="B346" s="421" t="s">
        <v>60</v>
      </c>
      <c r="C346" s="422" t="s">
        <v>246</v>
      </c>
      <c r="D346" s="423">
        <v>5.83</v>
      </c>
      <c r="E346" s="424">
        <v>15.34</v>
      </c>
      <c r="F346" s="424" t="s">
        <v>390</v>
      </c>
      <c r="G346" s="424">
        <f>ROUND(E346*D346,2)</f>
        <v>89.43</v>
      </c>
    </row>
    <row r="347" spans="1:7" ht="14.25" x14ac:dyDescent="0.2">
      <c r="A347" s="420" t="s">
        <v>636</v>
      </c>
      <c r="B347" s="421" t="s">
        <v>60</v>
      </c>
      <c r="C347" s="422" t="s">
        <v>637</v>
      </c>
      <c r="D347" s="423">
        <v>9.65</v>
      </c>
      <c r="E347" s="424">
        <v>11.28</v>
      </c>
      <c r="F347" s="424" t="s">
        <v>390</v>
      </c>
      <c r="G347" s="424">
        <f>ROUND(E347*D347,2)</f>
        <v>108.85</v>
      </c>
    </row>
    <row r="348" spans="1:7" ht="15" x14ac:dyDescent="0.25">
      <c r="A348" s="639" t="s">
        <v>61</v>
      </c>
      <c r="B348" s="639"/>
      <c r="C348" s="639"/>
      <c r="D348" s="639"/>
      <c r="E348" s="639"/>
      <c r="F348" s="639"/>
      <c r="G348" s="424">
        <f>SUM(G344:G347)</f>
        <v>290.23</v>
      </c>
    </row>
    <row r="349" spans="1:7" ht="15" x14ac:dyDescent="0.25">
      <c r="A349" s="640"/>
      <c r="B349" s="640"/>
      <c r="C349" s="640"/>
      <c r="D349" s="640"/>
      <c r="E349" s="640"/>
      <c r="F349" s="640"/>
      <c r="G349" s="640"/>
    </row>
    <row r="350" spans="1:7" ht="15" x14ac:dyDescent="0.25">
      <c r="A350" s="419" t="s">
        <v>62</v>
      </c>
      <c r="B350" s="419" t="s">
        <v>56</v>
      </c>
      <c r="C350" s="419" t="s">
        <v>57</v>
      </c>
      <c r="D350" s="419" t="s">
        <v>36</v>
      </c>
      <c r="E350" s="419" t="s">
        <v>58</v>
      </c>
      <c r="F350" s="419" t="s">
        <v>389</v>
      </c>
      <c r="G350" s="419" t="s">
        <v>59</v>
      </c>
    </row>
    <row r="351" spans="1:7" ht="14.25" x14ac:dyDescent="0.2">
      <c r="A351" s="454" t="s">
        <v>659</v>
      </c>
      <c r="B351" s="449" t="s">
        <v>231</v>
      </c>
      <c r="C351" s="461" t="s">
        <v>639</v>
      </c>
      <c r="D351" s="449">
        <v>4.1300000000000003E-2</v>
      </c>
      <c r="E351" s="449">
        <v>40.98</v>
      </c>
      <c r="F351" s="449" t="s">
        <v>390</v>
      </c>
      <c r="G351" s="424">
        <f t="shared" ref="G351:G362" si="5">PRODUCT(D351,E351)</f>
        <v>1.692474</v>
      </c>
    </row>
    <row r="352" spans="1:7" ht="14.25" x14ac:dyDescent="0.2">
      <c r="A352" s="462" t="s">
        <v>660</v>
      </c>
      <c r="B352" s="449" t="s">
        <v>303</v>
      </c>
      <c r="C352" s="461" t="s">
        <v>641</v>
      </c>
      <c r="D352" s="449">
        <v>0.2114</v>
      </c>
      <c r="E352" s="435">
        <v>66.599999999999994</v>
      </c>
      <c r="F352" s="435" t="s">
        <v>390</v>
      </c>
      <c r="G352" s="424">
        <f t="shared" si="5"/>
        <v>14.079239999999999</v>
      </c>
    </row>
    <row r="353" spans="1:7" ht="14.25" x14ac:dyDescent="0.2">
      <c r="A353" s="462" t="s">
        <v>661</v>
      </c>
      <c r="B353" s="449" t="s">
        <v>303</v>
      </c>
      <c r="C353" s="461" t="s">
        <v>643</v>
      </c>
      <c r="D353" s="449">
        <v>6.1199999999999997E-2</v>
      </c>
      <c r="E353" s="449">
        <v>64.62</v>
      </c>
      <c r="F353" s="449" t="s">
        <v>390</v>
      </c>
      <c r="G353" s="424">
        <f t="shared" si="5"/>
        <v>3.9547440000000003</v>
      </c>
    </row>
    <row r="354" spans="1:7" ht="14.25" x14ac:dyDescent="0.2">
      <c r="A354" s="462" t="s">
        <v>662</v>
      </c>
      <c r="B354" s="449" t="s">
        <v>303</v>
      </c>
      <c r="C354" s="461" t="s">
        <v>645</v>
      </c>
      <c r="D354" s="449">
        <v>0.1429</v>
      </c>
      <c r="E354" s="449">
        <v>64.62</v>
      </c>
      <c r="F354" s="449" t="s">
        <v>390</v>
      </c>
      <c r="G354" s="424">
        <f t="shared" si="5"/>
        <v>9.234198000000001</v>
      </c>
    </row>
    <row r="355" spans="1:7" ht="14.25" x14ac:dyDescent="0.2">
      <c r="A355" s="462" t="s">
        <v>663</v>
      </c>
      <c r="B355" s="449" t="s">
        <v>303</v>
      </c>
      <c r="C355" s="461" t="s">
        <v>664</v>
      </c>
      <c r="D355" s="463">
        <v>2.12</v>
      </c>
      <c r="E355" s="449">
        <v>69.69</v>
      </c>
      <c r="F355" s="449" t="s">
        <v>390</v>
      </c>
      <c r="G355" s="424">
        <f t="shared" si="5"/>
        <v>147.74280000000002</v>
      </c>
    </row>
    <row r="356" spans="1:7" ht="14.25" x14ac:dyDescent="0.2">
      <c r="A356" s="454" t="s">
        <v>665</v>
      </c>
      <c r="B356" s="449" t="s">
        <v>231</v>
      </c>
      <c r="C356" s="461" t="s">
        <v>647</v>
      </c>
      <c r="D356" s="463">
        <v>74.34</v>
      </c>
      <c r="E356" s="449">
        <v>0.34</v>
      </c>
      <c r="F356" s="449" t="s">
        <v>390</v>
      </c>
      <c r="G356" s="424">
        <f t="shared" si="5"/>
        <v>25.275600000000004</v>
      </c>
    </row>
    <row r="357" spans="1:7" ht="14.25" x14ac:dyDescent="0.2">
      <c r="A357" s="454" t="s">
        <v>666</v>
      </c>
      <c r="B357" s="449" t="s">
        <v>4</v>
      </c>
      <c r="C357" s="461" t="s">
        <v>667</v>
      </c>
      <c r="D357" s="463">
        <v>1</v>
      </c>
      <c r="E357" s="435">
        <v>28.9</v>
      </c>
      <c r="F357" s="435" t="s">
        <v>390</v>
      </c>
      <c r="G357" s="424">
        <f t="shared" si="5"/>
        <v>28.9</v>
      </c>
    </row>
    <row r="358" spans="1:7" ht="14.25" x14ac:dyDescent="0.2">
      <c r="A358" s="454" t="s">
        <v>668</v>
      </c>
      <c r="B358" s="449" t="s">
        <v>4</v>
      </c>
      <c r="C358" s="461" t="s">
        <v>669</v>
      </c>
      <c r="D358" s="463">
        <v>0.5</v>
      </c>
      <c r="E358" s="449">
        <v>1388.33</v>
      </c>
      <c r="F358" s="449" t="s">
        <v>390</v>
      </c>
      <c r="G358" s="424">
        <f t="shared" si="5"/>
        <v>694.16499999999996</v>
      </c>
    </row>
    <row r="359" spans="1:7" ht="14.25" x14ac:dyDescent="0.2">
      <c r="A359" s="454" t="s">
        <v>670</v>
      </c>
      <c r="B359" s="449" t="s">
        <v>231</v>
      </c>
      <c r="C359" s="461" t="s">
        <v>651</v>
      </c>
      <c r="D359" s="463">
        <v>1.8</v>
      </c>
      <c r="E359" s="449">
        <v>4.71</v>
      </c>
      <c r="F359" s="449" t="s">
        <v>390</v>
      </c>
      <c r="G359" s="424">
        <f t="shared" si="5"/>
        <v>8.4779999999999998</v>
      </c>
    </row>
    <row r="360" spans="1:7" ht="14.25" x14ac:dyDescent="0.2">
      <c r="A360" s="454" t="s">
        <v>671</v>
      </c>
      <c r="B360" s="449" t="s">
        <v>167</v>
      </c>
      <c r="C360" s="461" t="s">
        <v>653</v>
      </c>
      <c r="D360" s="449">
        <v>1.9400000000000001E-2</v>
      </c>
      <c r="E360" s="449">
        <v>35.630000000000003</v>
      </c>
      <c r="F360" s="449" t="s">
        <v>390</v>
      </c>
      <c r="G360" s="424">
        <f t="shared" si="5"/>
        <v>0.69122200000000011</v>
      </c>
    </row>
    <row r="361" spans="1:7" ht="14.25" x14ac:dyDescent="0.2">
      <c r="A361" s="454" t="s">
        <v>672</v>
      </c>
      <c r="B361" s="449" t="s">
        <v>4</v>
      </c>
      <c r="C361" s="461" t="s">
        <v>673</v>
      </c>
      <c r="D361" s="463">
        <v>1</v>
      </c>
      <c r="E361" s="449">
        <v>11.48</v>
      </c>
      <c r="F361" s="449" t="s">
        <v>390</v>
      </c>
      <c r="G361" s="424">
        <f t="shared" si="5"/>
        <v>11.48</v>
      </c>
    </row>
    <row r="362" spans="1:7" ht="14.25" x14ac:dyDescent="0.2">
      <c r="A362" s="454" t="s">
        <v>674</v>
      </c>
      <c r="B362" s="421" t="s">
        <v>303</v>
      </c>
      <c r="C362" s="451" t="s">
        <v>655</v>
      </c>
      <c r="D362" s="423">
        <v>4.5449999999999999</v>
      </c>
      <c r="E362" s="421">
        <v>10.17</v>
      </c>
      <c r="F362" s="421" t="s">
        <v>390</v>
      </c>
      <c r="G362" s="424">
        <f t="shared" si="5"/>
        <v>46.222650000000002</v>
      </c>
    </row>
    <row r="363" spans="1:7" ht="15" x14ac:dyDescent="0.25">
      <c r="A363" s="639" t="s">
        <v>61</v>
      </c>
      <c r="B363" s="639"/>
      <c r="C363" s="639"/>
      <c r="D363" s="639"/>
      <c r="E363" s="639"/>
      <c r="F363" s="639"/>
      <c r="G363" s="428">
        <f>SUM(G351:G362)</f>
        <v>991.91592800000001</v>
      </c>
    </row>
    <row r="364" spans="1:7" ht="14.25" x14ac:dyDescent="0.2">
      <c r="A364" s="645"/>
      <c r="B364" s="645"/>
      <c r="C364" s="645"/>
      <c r="D364" s="645"/>
      <c r="E364" s="645"/>
      <c r="F364" s="645"/>
      <c r="G364" s="645"/>
    </row>
    <row r="365" spans="1:7" ht="15" x14ac:dyDescent="0.25">
      <c r="A365" s="459" t="s">
        <v>416</v>
      </c>
      <c r="B365" s="419" t="s">
        <v>56</v>
      </c>
      <c r="C365" s="419" t="s">
        <v>57</v>
      </c>
      <c r="D365" s="419" t="s">
        <v>36</v>
      </c>
      <c r="E365" s="419" t="s">
        <v>58</v>
      </c>
      <c r="F365" s="419" t="s">
        <v>389</v>
      </c>
      <c r="G365" s="419" t="s">
        <v>59</v>
      </c>
    </row>
    <row r="366" spans="1:7" ht="14.25" x14ac:dyDescent="0.2">
      <c r="A366" s="453" t="s">
        <v>675</v>
      </c>
      <c r="B366" s="421" t="s">
        <v>60</v>
      </c>
      <c r="C366" s="422" t="s">
        <v>657</v>
      </c>
      <c r="D366" s="421">
        <v>0.10920000000000001</v>
      </c>
      <c r="E366" s="421">
        <v>23.43</v>
      </c>
      <c r="F366" s="421" t="s">
        <v>390</v>
      </c>
      <c r="G366" s="424">
        <f>PRODUCT(D366,E366)</f>
        <v>2.5585560000000003</v>
      </c>
    </row>
    <row r="367" spans="1:7" ht="15" x14ac:dyDescent="0.25">
      <c r="A367" s="639" t="s">
        <v>61</v>
      </c>
      <c r="B367" s="639"/>
      <c r="C367" s="639"/>
      <c r="D367" s="639"/>
      <c r="E367" s="639"/>
      <c r="F367" s="460"/>
      <c r="G367" s="428">
        <f>SUM(G366:G366)</f>
        <v>2.5585560000000003</v>
      </c>
    </row>
    <row r="368" spans="1:7" ht="14.25" x14ac:dyDescent="0.2">
      <c r="A368" s="645"/>
      <c r="B368" s="645"/>
      <c r="C368" s="645"/>
      <c r="D368" s="645"/>
      <c r="E368" s="645"/>
      <c r="F368" s="645"/>
      <c r="G368" s="645"/>
    </row>
    <row r="369" spans="1:7" ht="15" x14ac:dyDescent="0.25">
      <c r="A369" s="647" t="s">
        <v>63</v>
      </c>
      <c r="B369" s="647"/>
      <c r="C369" s="647"/>
      <c r="D369" s="647"/>
      <c r="E369" s="647"/>
      <c r="F369" s="647"/>
      <c r="G369" s="647"/>
    </row>
    <row r="370" spans="1:7" ht="15" x14ac:dyDescent="0.25">
      <c r="A370" s="419" t="s">
        <v>64</v>
      </c>
      <c r="B370" s="419" t="s">
        <v>65</v>
      </c>
      <c r="C370" s="419" t="s">
        <v>66</v>
      </c>
      <c r="D370" s="642" t="s">
        <v>843</v>
      </c>
      <c r="E370" s="642"/>
      <c r="F370" s="642"/>
      <c r="G370" s="642"/>
    </row>
    <row r="371" spans="1:7" ht="15" x14ac:dyDescent="0.25">
      <c r="A371" s="429" t="s">
        <v>67</v>
      </c>
      <c r="B371" s="430"/>
      <c r="C371" s="431">
        <f>G348</f>
        <v>290.23</v>
      </c>
      <c r="D371" s="642"/>
      <c r="E371" s="642"/>
      <c r="F371" s="642"/>
      <c r="G371" s="642"/>
    </row>
    <row r="372" spans="1:7" ht="15" x14ac:dyDescent="0.25">
      <c r="A372" s="429" t="s">
        <v>68</v>
      </c>
      <c r="B372" s="431"/>
      <c r="C372" s="431">
        <f>G363</f>
        <v>991.91592800000001</v>
      </c>
      <c r="D372" s="642"/>
      <c r="E372" s="642"/>
      <c r="F372" s="642"/>
      <c r="G372" s="642"/>
    </row>
    <row r="373" spans="1:7" ht="15" x14ac:dyDescent="0.25">
      <c r="A373" s="429" t="s">
        <v>69</v>
      </c>
      <c r="B373" s="429"/>
      <c r="C373" s="431">
        <f>G367</f>
        <v>2.5585560000000003</v>
      </c>
      <c r="D373" s="642"/>
      <c r="E373" s="642"/>
      <c r="F373" s="642"/>
      <c r="G373" s="642"/>
    </row>
    <row r="374" spans="1:7" ht="15" x14ac:dyDescent="0.25">
      <c r="A374" s="429" t="s">
        <v>70</v>
      </c>
      <c r="B374" s="429"/>
      <c r="C374" s="431">
        <v>1</v>
      </c>
      <c r="D374" s="642"/>
      <c r="E374" s="642"/>
      <c r="F374" s="642"/>
      <c r="G374" s="642"/>
    </row>
    <row r="375" spans="1:7" ht="15" x14ac:dyDescent="0.25">
      <c r="A375" s="429" t="s">
        <v>71</v>
      </c>
      <c r="B375" s="429"/>
      <c r="C375" s="431">
        <f>C371+C373</f>
        <v>292.78855600000003</v>
      </c>
      <c r="D375" s="642"/>
      <c r="E375" s="642"/>
      <c r="F375" s="642"/>
      <c r="G375" s="642"/>
    </row>
    <row r="376" spans="1:7" ht="15" x14ac:dyDescent="0.25">
      <c r="A376" s="429" t="s">
        <v>72</v>
      </c>
      <c r="B376" s="429"/>
      <c r="C376" s="431">
        <f>(C371+C373)/C374</f>
        <v>292.78855600000003</v>
      </c>
      <c r="D376" s="642"/>
      <c r="E376" s="642"/>
      <c r="F376" s="642"/>
      <c r="G376" s="642"/>
    </row>
    <row r="377" spans="1:7" ht="15" x14ac:dyDescent="0.25">
      <c r="A377" s="429" t="s">
        <v>73</v>
      </c>
      <c r="B377" s="429"/>
      <c r="C377" s="431">
        <f>C372+C376</f>
        <v>1284.7044840000001</v>
      </c>
      <c r="D377" s="642"/>
      <c r="E377" s="642"/>
      <c r="F377" s="642"/>
      <c r="G377" s="642"/>
    </row>
    <row r="378" spans="1:7" ht="15" x14ac:dyDescent="0.25">
      <c r="A378" s="429" t="s">
        <v>74</v>
      </c>
      <c r="B378" s="430">
        <v>0.2631</v>
      </c>
      <c r="C378" s="431">
        <f>C377*B378</f>
        <v>338.00574974040001</v>
      </c>
      <c r="D378" s="642"/>
      <c r="E378" s="642"/>
      <c r="F378" s="642"/>
      <c r="G378" s="642"/>
    </row>
    <row r="379" spans="1:7" ht="15" x14ac:dyDescent="0.25">
      <c r="A379" s="429" t="s">
        <v>75</v>
      </c>
      <c r="B379" s="643">
        <f>C377+C378</f>
        <v>1622.7102337404001</v>
      </c>
      <c r="C379" s="643"/>
      <c r="D379" s="642"/>
      <c r="E379" s="642"/>
      <c r="F379" s="642"/>
      <c r="G379" s="642"/>
    </row>
    <row r="380" spans="1:7" ht="14.25" x14ac:dyDescent="0.2">
      <c r="A380" s="648"/>
      <c r="B380" s="648"/>
      <c r="C380" s="648"/>
      <c r="D380" s="648"/>
      <c r="E380" s="648"/>
      <c r="F380" s="648"/>
      <c r="G380" s="648"/>
    </row>
    <row r="381" spans="1:7" ht="44.25" customHeight="1" x14ac:dyDescent="0.2">
      <c r="A381" s="634" t="s">
        <v>676</v>
      </c>
      <c r="B381" s="635"/>
      <c r="C381" s="635"/>
      <c r="D381" s="636"/>
      <c r="E381" s="637" t="s">
        <v>678</v>
      </c>
      <c r="F381" s="638"/>
      <c r="G381" s="60" t="s">
        <v>4</v>
      </c>
    </row>
    <row r="382" spans="1:7" ht="15" x14ac:dyDescent="0.25">
      <c r="A382" s="419" t="s">
        <v>385</v>
      </c>
      <c r="B382" s="419" t="s">
        <v>56</v>
      </c>
      <c r="C382" s="419" t="s">
        <v>57</v>
      </c>
      <c r="D382" s="419" t="s">
        <v>36</v>
      </c>
      <c r="E382" s="419" t="s">
        <v>58</v>
      </c>
      <c r="F382" s="419" t="s">
        <v>389</v>
      </c>
      <c r="G382" s="419" t="s">
        <v>59</v>
      </c>
    </row>
    <row r="383" spans="1:7" ht="14.25" x14ac:dyDescent="0.2">
      <c r="A383" s="454" t="s">
        <v>124</v>
      </c>
      <c r="B383" s="421" t="s">
        <v>60</v>
      </c>
      <c r="C383" s="422" t="s">
        <v>123</v>
      </c>
      <c r="D383" s="423">
        <v>1.3</v>
      </c>
      <c r="E383" s="424">
        <v>12.95</v>
      </c>
      <c r="F383" s="424" t="s">
        <v>390</v>
      </c>
      <c r="G383" s="424">
        <f>TRUNC(E383*D383,2)</f>
        <v>16.829999999999998</v>
      </c>
    </row>
    <row r="384" spans="1:7" ht="14.25" x14ac:dyDescent="0.2">
      <c r="A384" s="454" t="s">
        <v>634</v>
      </c>
      <c r="B384" s="421" t="s">
        <v>60</v>
      </c>
      <c r="C384" s="422" t="s">
        <v>635</v>
      </c>
      <c r="D384" s="423">
        <v>1.3</v>
      </c>
      <c r="E384" s="424">
        <v>15.34</v>
      </c>
      <c r="F384" s="424" t="s">
        <v>390</v>
      </c>
      <c r="G384" s="424">
        <f t="shared" ref="G384:G386" si="6">TRUNC(E384*D384,2)</f>
        <v>19.940000000000001</v>
      </c>
    </row>
    <row r="385" spans="1:7" ht="14.25" x14ac:dyDescent="0.2">
      <c r="A385" s="454" t="s">
        <v>241</v>
      </c>
      <c r="B385" s="421" t="s">
        <v>60</v>
      </c>
      <c r="C385" s="422" t="s">
        <v>246</v>
      </c>
      <c r="D385" s="423">
        <v>5.14</v>
      </c>
      <c r="E385" s="424">
        <v>15.34</v>
      </c>
      <c r="F385" s="424" t="s">
        <v>390</v>
      </c>
      <c r="G385" s="424">
        <f t="shared" si="6"/>
        <v>78.84</v>
      </c>
    </row>
    <row r="386" spans="1:7" ht="14.25" x14ac:dyDescent="0.2">
      <c r="A386" s="454" t="s">
        <v>636</v>
      </c>
      <c r="B386" s="421" t="s">
        <v>60</v>
      </c>
      <c r="C386" s="422" t="s">
        <v>637</v>
      </c>
      <c r="D386" s="423">
        <v>6.25</v>
      </c>
      <c r="E386" s="424">
        <v>11.28</v>
      </c>
      <c r="F386" s="424" t="s">
        <v>390</v>
      </c>
      <c r="G386" s="424">
        <f t="shared" si="6"/>
        <v>70.5</v>
      </c>
    </row>
    <row r="387" spans="1:7" ht="15" x14ac:dyDescent="0.25">
      <c r="A387" s="639" t="s">
        <v>61</v>
      </c>
      <c r="B387" s="639"/>
      <c r="C387" s="639"/>
      <c r="D387" s="639"/>
      <c r="E387" s="639"/>
      <c r="F387" s="639"/>
      <c r="G387" s="424">
        <f>SUM(G383:G386)</f>
        <v>186.11</v>
      </c>
    </row>
    <row r="388" spans="1:7" ht="15" x14ac:dyDescent="0.25">
      <c r="A388" s="640"/>
      <c r="B388" s="640"/>
      <c r="C388" s="640"/>
      <c r="D388" s="640"/>
      <c r="E388" s="640"/>
      <c r="F388" s="640"/>
      <c r="G388" s="640"/>
    </row>
    <row r="389" spans="1:7" ht="15" x14ac:dyDescent="0.25">
      <c r="A389" s="419" t="s">
        <v>62</v>
      </c>
      <c r="B389" s="419" t="s">
        <v>56</v>
      </c>
      <c r="C389" s="419" t="s">
        <v>57</v>
      </c>
      <c r="D389" s="419" t="s">
        <v>36</v>
      </c>
      <c r="E389" s="419" t="s">
        <v>58</v>
      </c>
      <c r="F389" s="419" t="s">
        <v>389</v>
      </c>
      <c r="G389" s="419" t="s">
        <v>59</v>
      </c>
    </row>
    <row r="390" spans="1:7" ht="14.25" x14ac:dyDescent="0.2">
      <c r="A390" s="454" t="s">
        <v>638</v>
      </c>
      <c r="B390" s="421" t="s">
        <v>231</v>
      </c>
      <c r="C390" s="444" t="s">
        <v>639</v>
      </c>
      <c r="D390" s="423">
        <v>6.3E-3</v>
      </c>
      <c r="E390" s="424">
        <v>40.98</v>
      </c>
      <c r="F390" s="421" t="s">
        <v>390</v>
      </c>
      <c r="G390" s="424">
        <f>TRUNC(E390*D390,2)</f>
        <v>0.25</v>
      </c>
    </row>
    <row r="391" spans="1:7" ht="14.25" x14ac:dyDescent="0.2">
      <c r="A391" s="454" t="s">
        <v>640</v>
      </c>
      <c r="B391" s="421" t="s">
        <v>303</v>
      </c>
      <c r="C391" s="444" t="s">
        <v>641</v>
      </c>
      <c r="D391" s="423">
        <v>0.2114</v>
      </c>
      <c r="E391" s="424">
        <v>66.599999999999994</v>
      </c>
      <c r="F391" s="421" t="s">
        <v>390</v>
      </c>
      <c r="G391" s="424">
        <f t="shared" ref="G391:G398" si="7">TRUNC(E391*D391,2)</f>
        <v>14.07</v>
      </c>
    </row>
    <row r="392" spans="1:7" ht="14.25" x14ac:dyDescent="0.2">
      <c r="A392" s="454" t="s">
        <v>642</v>
      </c>
      <c r="B392" s="421" t="s">
        <v>303</v>
      </c>
      <c r="C392" s="444" t="s">
        <v>643</v>
      </c>
      <c r="D392" s="423">
        <v>6.1199999999999997E-2</v>
      </c>
      <c r="E392" s="424">
        <v>64.62</v>
      </c>
      <c r="F392" s="421" t="s">
        <v>390</v>
      </c>
      <c r="G392" s="424">
        <f t="shared" si="7"/>
        <v>3.95</v>
      </c>
    </row>
    <row r="393" spans="1:7" ht="14.25" x14ac:dyDescent="0.2">
      <c r="A393" s="454" t="s">
        <v>644</v>
      </c>
      <c r="B393" s="421" t="s">
        <v>303</v>
      </c>
      <c r="C393" s="444" t="s">
        <v>645</v>
      </c>
      <c r="D393" s="423">
        <v>0.25</v>
      </c>
      <c r="E393" s="424">
        <v>64.62</v>
      </c>
      <c r="F393" s="421" t="s">
        <v>390</v>
      </c>
      <c r="G393" s="424">
        <f t="shared" si="7"/>
        <v>16.149999999999999</v>
      </c>
    </row>
    <row r="394" spans="1:7" ht="14.25" x14ac:dyDescent="0.2">
      <c r="A394" s="454" t="s">
        <v>646</v>
      </c>
      <c r="B394" s="421" t="s">
        <v>231</v>
      </c>
      <c r="C394" s="444" t="s">
        <v>647</v>
      </c>
      <c r="D394" s="423">
        <v>74.34</v>
      </c>
      <c r="E394" s="424">
        <v>0.34</v>
      </c>
      <c r="F394" s="421" t="s">
        <v>390</v>
      </c>
      <c r="G394" s="424">
        <f t="shared" si="7"/>
        <v>25.27</v>
      </c>
    </row>
    <row r="395" spans="1:7" ht="28.5" x14ac:dyDescent="0.2">
      <c r="A395" s="457" t="s">
        <v>648</v>
      </c>
      <c r="B395" s="421" t="s">
        <v>4</v>
      </c>
      <c r="C395" s="444" t="s">
        <v>649</v>
      </c>
      <c r="D395" s="423">
        <v>0.6</v>
      </c>
      <c r="E395" s="424">
        <v>1183.33</v>
      </c>
      <c r="F395" s="421" t="s">
        <v>390</v>
      </c>
      <c r="G395" s="424">
        <f t="shared" si="7"/>
        <v>709.99</v>
      </c>
    </row>
    <row r="396" spans="1:7" ht="14.25" x14ac:dyDescent="0.2">
      <c r="A396" s="453" t="s">
        <v>650</v>
      </c>
      <c r="B396" s="421" t="s">
        <v>231</v>
      </c>
      <c r="C396" s="444" t="s">
        <v>651</v>
      </c>
      <c r="D396" s="423">
        <v>1.8</v>
      </c>
      <c r="E396" s="424">
        <v>4.71</v>
      </c>
      <c r="F396" s="421" t="s">
        <v>390</v>
      </c>
      <c r="G396" s="424">
        <f t="shared" si="7"/>
        <v>8.4700000000000006</v>
      </c>
    </row>
    <row r="397" spans="1:7" ht="14.25" x14ac:dyDescent="0.2">
      <c r="A397" s="453" t="s">
        <v>652</v>
      </c>
      <c r="B397" s="421" t="s">
        <v>167</v>
      </c>
      <c r="C397" s="458" t="s">
        <v>653</v>
      </c>
      <c r="D397" s="423">
        <v>3.0000000000000001E-3</v>
      </c>
      <c r="E397" s="424">
        <v>35.630000000000003</v>
      </c>
      <c r="F397" s="421" t="s">
        <v>390</v>
      </c>
      <c r="G397" s="424">
        <f t="shared" si="7"/>
        <v>0.1</v>
      </c>
    </row>
    <row r="398" spans="1:7" ht="28.5" x14ac:dyDescent="0.2">
      <c r="A398" s="453" t="s">
        <v>654</v>
      </c>
      <c r="B398" s="421" t="s">
        <v>5</v>
      </c>
      <c r="C398" s="451" t="s">
        <v>655</v>
      </c>
      <c r="D398" s="423">
        <v>1</v>
      </c>
      <c r="E398" s="424">
        <v>10.17</v>
      </c>
      <c r="F398" s="421" t="s">
        <v>390</v>
      </c>
      <c r="G398" s="424">
        <f t="shared" si="7"/>
        <v>10.17</v>
      </c>
    </row>
    <row r="399" spans="1:7" ht="15" x14ac:dyDescent="0.25">
      <c r="A399" s="639" t="s">
        <v>61</v>
      </c>
      <c r="B399" s="639"/>
      <c r="C399" s="639"/>
      <c r="D399" s="639"/>
      <c r="E399" s="639"/>
      <c r="F399" s="639"/>
      <c r="G399" s="428">
        <f>SUM(G390:G398)</f>
        <v>788.42000000000007</v>
      </c>
    </row>
    <row r="400" spans="1:7" ht="14.25" x14ac:dyDescent="0.2">
      <c r="A400" s="641"/>
      <c r="B400" s="641"/>
      <c r="C400" s="641"/>
      <c r="D400" s="641"/>
      <c r="E400" s="641"/>
      <c r="F400" s="641"/>
      <c r="G400" s="641"/>
    </row>
    <row r="401" spans="1:7" ht="15" x14ac:dyDescent="0.25">
      <c r="A401" s="459" t="s">
        <v>416</v>
      </c>
      <c r="B401" s="419" t="s">
        <v>56</v>
      </c>
      <c r="C401" s="419" t="s">
        <v>57</v>
      </c>
      <c r="D401" s="419" t="s">
        <v>36</v>
      </c>
      <c r="E401" s="419" t="s">
        <v>58</v>
      </c>
      <c r="F401" s="419" t="s">
        <v>389</v>
      </c>
      <c r="G401" s="419" t="s">
        <v>59</v>
      </c>
    </row>
    <row r="402" spans="1:7" ht="14.25" x14ac:dyDescent="0.2">
      <c r="A402" s="453" t="s">
        <v>656</v>
      </c>
      <c r="B402" s="421" t="s">
        <v>60</v>
      </c>
      <c r="C402" s="444" t="s">
        <v>657</v>
      </c>
      <c r="D402" s="421">
        <v>0.10920000000000001</v>
      </c>
      <c r="E402" s="421">
        <v>23.43</v>
      </c>
      <c r="F402" s="421" t="s">
        <v>390</v>
      </c>
      <c r="G402" s="424">
        <f>PRODUCT(D402,E402)</f>
        <v>2.5585560000000003</v>
      </c>
    </row>
    <row r="403" spans="1:7" ht="15" x14ac:dyDescent="0.25">
      <c r="A403" s="639" t="s">
        <v>61</v>
      </c>
      <c r="B403" s="639"/>
      <c r="C403" s="639"/>
      <c r="D403" s="639"/>
      <c r="E403" s="639"/>
      <c r="F403" s="460"/>
      <c r="G403" s="428">
        <f>SUM(G402:G402)</f>
        <v>2.5585560000000003</v>
      </c>
    </row>
    <row r="404" spans="1:7" ht="14.25" x14ac:dyDescent="0.2">
      <c r="A404" s="645"/>
      <c r="B404" s="645"/>
      <c r="C404" s="645"/>
      <c r="D404" s="645"/>
      <c r="E404" s="645"/>
      <c r="F404" s="645"/>
      <c r="G404" s="645"/>
    </row>
    <row r="405" spans="1:7" ht="15" x14ac:dyDescent="0.25">
      <c r="A405" s="647" t="s">
        <v>63</v>
      </c>
      <c r="B405" s="647"/>
      <c r="C405" s="647"/>
      <c r="D405" s="647"/>
      <c r="E405" s="647"/>
      <c r="F405" s="647"/>
      <c r="G405" s="647"/>
    </row>
    <row r="406" spans="1:7" ht="15" x14ac:dyDescent="0.25">
      <c r="A406" s="419" t="s">
        <v>64</v>
      </c>
      <c r="B406" s="419" t="s">
        <v>65</v>
      </c>
      <c r="C406" s="419" t="s">
        <v>66</v>
      </c>
      <c r="D406" s="642" t="s">
        <v>430</v>
      </c>
      <c r="E406" s="642"/>
      <c r="F406" s="642"/>
      <c r="G406" s="642"/>
    </row>
    <row r="407" spans="1:7" ht="15" x14ac:dyDescent="0.25">
      <c r="A407" s="429" t="s">
        <v>67</v>
      </c>
      <c r="B407" s="430"/>
      <c r="C407" s="431">
        <f>G387</f>
        <v>186.11</v>
      </c>
      <c r="D407" s="642"/>
      <c r="E407" s="642"/>
      <c r="F407" s="642"/>
      <c r="G407" s="642"/>
    </row>
    <row r="408" spans="1:7" ht="15" x14ac:dyDescent="0.25">
      <c r="A408" s="429" t="s">
        <v>68</v>
      </c>
      <c r="B408" s="431"/>
      <c r="C408" s="431">
        <f>G399</f>
        <v>788.42000000000007</v>
      </c>
      <c r="D408" s="642"/>
      <c r="E408" s="642"/>
      <c r="F408" s="642"/>
      <c r="G408" s="642"/>
    </row>
    <row r="409" spans="1:7" ht="15" x14ac:dyDescent="0.25">
      <c r="A409" s="429" t="s">
        <v>69</v>
      </c>
      <c r="B409" s="429"/>
      <c r="C409" s="431">
        <f>G403</f>
        <v>2.5585560000000003</v>
      </c>
      <c r="D409" s="642"/>
      <c r="E409" s="642"/>
      <c r="F409" s="642"/>
      <c r="G409" s="642"/>
    </row>
    <row r="410" spans="1:7" ht="15" x14ac:dyDescent="0.25">
      <c r="A410" s="429" t="s">
        <v>70</v>
      </c>
      <c r="B410" s="429"/>
      <c r="C410" s="431">
        <v>1</v>
      </c>
      <c r="D410" s="642"/>
      <c r="E410" s="642"/>
      <c r="F410" s="642"/>
      <c r="G410" s="642"/>
    </row>
    <row r="411" spans="1:7" ht="15" x14ac:dyDescent="0.25">
      <c r="A411" s="429" t="s">
        <v>71</v>
      </c>
      <c r="B411" s="429"/>
      <c r="C411" s="431">
        <f>C407+C409</f>
        <v>188.66855600000002</v>
      </c>
      <c r="D411" s="642"/>
      <c r="E411" s="642"/>
      <c r="F411" s="642"/>
      <c r="G411" s="642"/>
    </row>
    <row r="412" spans="1:7" ht="15" x14ac:dyDescent="0.25">
      <c r="A412" s="429" t="s">
        <v>72</v>
      </c>
      <c r="B412" s="429"/>
      <c r="C412" s="431">
        <f>(C407+C409)/C410</f>
        <v>188.66855600000002</v>
      </c>
      <c r="D412" s="642"/>
      <c r="E412" s="642"/>
      <c r="F412" s="642"/>
      <c r="G412" s="642"/>
    </row>
    <row r="413" spans="1:7" ht="15" x14ac:dyDescent="0.25">
      <c r="A413" s="429" t="s">
        <v>73</v>
      </c>
      <c r="B413" s="429"/>
      <c r="C413" s="431">
        <f>C408+C412</f>
        <v>977.08855600000015</v>
      </c>
      <c r="D413" s="642"/>
      <c r="E413" s="642"/>
      <c r="F413" s="642"/>
      <c r="G413" s="642"/>
    </row>
    <row r="414" spans="1:7" ht="15" x14ac:dyDescent="0.25">
      <c r="A414" s="429" t="s">
        <v>74</v>
      </c>
      <c r="B414" s="430">
        <v>0.2631</v>
      </c>
      <c r="C414" s="431">
        <f>C413*B414</f>
        <v>257.07199908360002</v>
      </c>
      <c r="D414" s="642"/>
      <c r="E414" s="642"/>
      <c r="F414" s="642"/>
      <c r="G414" s="642"/>
    </row>
    <row r="415" spans="1:7" ht="15" x14ac:dyDescent="0.25">
      <c r="A415" s="429" t="s">
        <v>75</v>
      </c>
      <c r="B415" s="643">
        <f>C413+C414</f>
        <v>1234.1605550836002</v>
      </c>
      <c r="C415" s="643"/>
      <c r="D415" s="642"/>
      <c r="E415" s="642"/>
      <c r="F415" s="642"/>
      <c r="G415" s="642"/>
    </row>
    <row r="416" spans="1:7" ht="14.25" x14ac:dyDescent="0.2">
      <c r="A416" s="645"/>
      <c r="B416" s="645"/>
      <c r="C416" s="645"/>
      <c r="D416" s="645"/>
      <c r="E416" s="645"/>
      <c r="F416" s="645"/>
      <c r="G416" s="645"/>
    </row>
    <row r="417" spans="1:7" ht="31.5" customHeight="1" x14ac:dyDescent="0.2">
      <c r="A417" s="634" t="s">
        <v>817</v>
      </c>
      <c r="B417" s="635"/>
      <c r="C417" s="635"/>
      <c r="D417" s="636"/>
      <c r="E417" s="637" t="s">
        <v>679</v>
      </c>
      <c r="F417" s="638"/>
      <c r="G417" s="60" t="s">
        <v>4</v>
      </c>
    </row>
    <row r="418" spans="1:7" ht="15" x14ac:dyDescent="0.25">
      <c r="A418" s="419" t="s">
        <v>385</v>
      </c>
      <c r="B418" s="419" t="s">
        <v>56</v>
      </c>
      <c r="C418" s="419" t="s">
        <v>57</v>
      </c>
      <c r="D418" s="419" t="s">
        <v>36</v>
      </c>
      <c r="E418" s="419" t="s">
        <v>58</v>
      </c>
      <c r="F418" s="419" t="s">
        <v>389</v>
      </c>
      <c r="G418" s="419" t="s">
        <v>59</v>
      </c>
    </row>
    <row r="419" spans="1:7" ht="14.25" x14ac:dyDescent="0.2">
      <c r="A419" s="454" t="s">
        <v>124</v>
      </c>
      <c r="B419" s="421" t="s">
        <v>60</v>
      </c>
      <c r="C419" s="422" t="s">
        <v>123</v>
      </c>
      <c r="D419" s="423">
        <v>0.05</v>
      </c>
      <c r="E419" s="424">
        <v>12.95</v>
      </c>
      <c r="F419" s="424" t="s">
        <v>390</v>
      </c>
      <c r="G419" s="424">
        <f>TRUNC(E419*D419,2)</f>
        <v>0.64</v>
      </c>
    </row>
    <row r="420" spans="1:7" ht="14.25" x14ac:dyDescent="0.2">
      <c r="A420" s="454" t="s">
        <v>241</v>
      </c>
      <c r="B420" s="421" t="s">
        <v>60</v>
      </c>
      <c r="C420" s="422" t="s">
        <v>246</v>
      </c>
      <c r="D420" s="423">
        <v>0.05</v>
      </c>
      <c r="E420" s="424">
        <v>15.34</v>
      </c>
      <c r="F420" s="424" t="s">
        <v>390</v>
      </c>
      <c r="G420" s="424">
        <f t="shared" ref="G420" si="8">TRUNC(E420*D420,2)</f>
        <v>0.76</v>
      </c>
    </row>
    <row r="421" spans="1:7" ht="15" x14ac:dyDescent="0.25">
      <c r="A421" s="639" t="s">
        <v>61</v>
      </c>
      <c r="B421" s="639"/>
      <c r="C421" s="639"/>
      <c r="D421" s="639"/>
      <c r="E421" s="639"/>
      <c r="F421" s="639"/>
      <c r="G421" s="424">
        <f>SUM(G419:G420)</f>
        <v>1.4</v>
      </c>
    </row>
    <row r="422" spans="1:7" ht="15" x14ac:dyDescent="0.25">
      <c r="A422" s="640"/>
      <c r="B422" s="640"/>
      <c r="C422" s="640"/>
      <c r="D422" s="640"/>
      <c r="E422" s="640"/>
      <c r="F422" s="640"/>
      <c r="G422" s="640"/>
    </row>
    <row r="423" spans="1:7" ht="15" x14ac:dyDescent="0.25">
      <c r="A423" s="419" t="s">
        <v>62</v>
      </c>
      <c r="B423" s="419" t="s">
        <v>56</v>
      </c>
      <c r="C423" s="419" t="s">
        <v>57</v>
      </c>
      <c r="D423" s="419" t="s">
        <v>36</v>
      </c>
      <c r="E423" s="419" t="s">
        <v>58</v>
      </c>
      <c r="F423" s="419" t="s">
        <v>389</v>
      </c>
      <c r="G423" s="419" t="s">
        <v>59</v>
      </c>
    </row>
    <row r="424" spans="1:7" ht="28.5" x14ac:dyDescent="0.2">
      <c r="A424" s="453" t="s">
        <v>814</v>
      </c>
      <c r="B424" s="421" t="s">
        <v>4</v>
      </c>
      <c r="C424" s="444" t="s">
        <v>815</v>
      </c>
      <c r="D424" s="423">
        <v>1</v>
      </c>
      <c r="E424" s="424">
        <v>30.33</v>
      </c>
      <c r="F424" s="421" t="s">
        <v>390</v>
      </c>
      <c r="G424" s="424">
        <f>TRUNC(E424*D424,2)</f>
        <v>30.33</v>
      </c>
    </row>
    <row r="425" spans="1:7" ht="15" x14ac:dyDescent="0.25">
      <c r="A425" s="639" t="s">
        <v>61</v>
      </c>
      <c r="B425" s="639"/>
      <c r="C425" s="639"/>
      <c r="D425" s="639"/>
      <c r="E425" s="639"/>
      <c r="F425" s="639"/>
      <c r="G425" s="428">
        <f>SUM(G424:G424)</f>
        <v>30.33</v>
      </c>
    </row>
    <row r="426" spans="1:7" ht="14.25" x14ac:dyDescent="0.2">
      <c r="A426" s="641"/>
      <c r="B426" s="641"/>
      <c r="C426" s="641"/>
      <c r="D426" s="641"/>
      <c r="E426" s="641"/>
      <c r="F426" s="641"/>
      <c r="G426" s="641"/>
    </row>
    <row r="427" spans="1:7" ht="15" x14ac:dyDescent="0.25">
      <c r="A427" s="429" t="s">
        <v>67</v>
      </c>
      <c r="B427" s="430"/>
      <c r="C427" s="431">
        <f>G421</f>
        <v>1.4</v>
      </c>
      <c r="D427" s="642" t="s">
        <v>430</v>
      </c>
      <c r="E427" s="642"/>
      <c r="F427" s="642"/>
      <c r="G427" s="642"/>
    </row>
    <row r="428" spans="1:7" ht="15" x14ac:dyDescent="0.25">
      <c r="A428" s="429" t="s">
        <v>68</v>
      </c>
      <c r="B428" s="431"/>
      <c r="C428" s="431">
        <f>G425</f>
        <v>30.33</v>
      </c>
      <c r="D428" s="642"/>
      <c r="E428" s="642"/>
      <c r="F428" s="642"/>
      <c r="G428" s="642"/>
    </row>
    <row r="429" spans="1:7" ht="15" x14ac:dyDescent="0.25">
      <c r="A429" s="429" t="s">
        <v>69</v>
      </c>
      <c r="B429" s="429"/>
      <c r="C429" s="431">
        <v>0</v>
      </c>
      <c r="D429" s="642"/>
      <c r="E429" s="642"/>
      <c r="F429" s="642"/>
      <c r="G429" s="642"/>
    </row>
    <row r="430" spans="1:7" ht="15" x14ac:dyDescent="0.25">
      <c r="A430" s="429" t="s">
        <v>70</v>
      </c>
      <c r="B430" s="429"/>
      <c r="C430" s="431">
        <v>1</v>
      </c>
      <c r="D430" s="642"/>
      <c r="E430" s="642"/>
      <c r="F430" s="642"/>
      <c r="G430" s="642"/>
    </row>
    <row r="431" spans="1:7" ht="15" x14ac:dyDescent="0.25">
      <c r="A431" s="429" t="s">
        <v>71</v>
      </c>
      <c r="B431" s="429"/>
      <c r="C431" s="431">
        <f>C427+C429</f>
        <v>1.4</v>
      </c>
      <c r="D431" s="642"/>
      <c r="E431" s="642"/>
      <c r="F431" s="642"/>
      <c r="G431" s="642"/>
    </row>
    <row r="432" spans="1:7" ht="15" x14ac:dyDescent="0.25">
      <c r="A432" s="429" t="s">
        <v>72</v>
      </c>
      <c r="B432" s="429"/>
      <c r="C432" s="431">
        <f>(C427+C429)/C430</f>
        <v>1.4</v>
      </c>
      <c r="D432" s="642"/>
      <c r="E432" s="642"/>
      <c r="F432" s="642"/>
      <c r="G432" s="642"/>
    </row>
    <row r="433" spans="1:7" ht="15" x14ac:dyDescent="0.25">
      <c r="A433" s="429" t="s">
        <v>73</v>
      </c>
      <c r="B433" s="429"/>
      <c r="C433" s="431">
        <f>C428+C432</f>
        <v>31.729999999999997</v>
      </c>
      <c r="D433" s="642"/>
      <c r="E433" s="642"/>
      <c r="F433" s="642"/>
      <c r="G433" s="642"/>
    </row>
    <row r="434" spans="1:7" ht="15" x14ac:dyDescent="0.25">
      <c r="A434" s="429" t="s">
        <v>74</v>
      </c>
      <c r="B434" s="430">
        <v>0.2631</v>
      </c>
      <c r="C434" s="431">
        <f>C433*B434</f>
        <v>8.3481629999999996</v>
      </c>
      <c r="D434" s="642"/>
      <c r="E434" s="642"/>
      <c r="F434" s="642"/>
      <c r="G434" s="642"/>
    </row>
    <row r="435" spans="1:7" ht="15" x14ac:dyDescent="0.25">
      <c r="A435" s="429" t="s">
        <v>75</v>
      </c>
      <c r="B435" s="643">
        <f>C433+C434</f>
        <v>40.078162999999996</v>
      </c>
      <c r="C435" s="643"/>
      <c r="D435" s="642"/>
      <c r="E435" s="642"/>
      <c r="F435" s="642"/>
      <c r="G435" s="642"/>
    </row>
    <row r="436" spans="1:7" x14ac:dyDescent="0.2">
      <c r="A436" s="644"/>
      <c r="B436" s="644"/>
      <c r="C436" s="644"/>
      <c r="D436" s="644"/>
      <c r="E436" s="644"/>
      <c r="F436" s="644"/>
      <c r="G436" s="644"/>
    </row>
    <row r="437" spans="1:7" ht="15" x14ac:dyDescent="0.2">
      <c r="A437" s="634" t="s">
        <v>869</v>
      </c>
      <c r="B437" s="635"/>
      <c r="C437" s="635"/>
      <c r="D437" s="636"/>
      <c r="E437" s="637" t="s">
        <v>868</v>
      </c>
      <c r="F437" s="638"/>
      <c r="G437" s="60" t="s">
        <v>4</v>
      </c>
    </row>
    <row r="438" spans="1:7" ht="15" x14ac:dyDescent="0.25">
      <c r="A438" s="425" t="s">
        <v>385</v>
      </c>
      <c r="B438" s="425" t="s">
        <v>56</v>
      </c>
      <c r="C438" s="425" t="s">
        <v>57</v>
      </c>
      <c r="D438" s="425" t="s">
        <v>36</v>
      </c>
      <c r="E438" s="425" t="s">
        <v>58</v>
      </c>
      <c r="F438" s="425" t="s">
        <v>389</v>
      </c>
      <c r="G438" s="425" t="s">
        <v>59</v>
      </c>
    </row>
    <row r="439" spans="1:7" ht="14.25" x14ac:dyDescent="0.2">
      <c r="A439" s="454" t="s">
        <v>124</v>
      </c>
      <c r="B439" s="445" t="s">
        <v>60</v>
      </c>
      <c r="C439" s="422" t="s">
        <v>123</v>
      </c>
      <c r="D439" s="423">
        <v>1.5</v>
      </c>
      <c r="E439" s="424">
        <v>12.95</v>
      </c>
      <c r="F439" s="424" t="s">
        <v>390</v>
      </c>
      <c r="G439" s="424">
        <f>TRUNC(E439*D439,2)</f>
        <v>19.420000000000002</v>
      </c>
    </row>
    <row r="440" spans="1:7" ht="14.25" x14ac:dyDescent="0.2">
      <c r="A440" s="454" t="s">
        <v>241</v>
      </c>
      <c r="B440" s="445" t="s">
        <v>60</v>
      </c>
      <c r="C440" s="422" t="s">
        <v>246</v>
      </c>
      <c r="D440" s="423">
        <v>1</v>
      </c>
      <c r="E440" s="424">
        <v>15.34</v>
      </c>
      <c r="F440" s="424" t="s">
        <v>390</v>
      </c>
      <c r="G440" s="424">
        <f t="shared" ref="G440" si="9">TRUNC(E440*D440,2)</f>
        <v>15.34</v>
      </c>
    </row>
    <row r="441" spans="1:7" ht="15" x14ac:dyDescent="0.25">
      <c r="A441" s="639" t="s">
        <v>61</v>
      </c>
      <c r="B441" s="639"/>
      <c r="C441" s="639"/>
      <c r="D441" s="639"/>
      <c r="E441" s="639"/>
      <c r="F441" s="639"/>
      <c r="G441" s="424">
        <f>SUM(G439:G440)</f>
        <v>34.760000000000005</v>
      </c>
    </row>
    <row r="442" spans="1:7" ht="15" x14ac:dyDescent="0.25">
      <c r="A442" s="640"/>
      <c r="B442" s="640"/>
      <c r="C442" s="640"/>
      <c r="D442" s="640"/>
      <c r="E442" s="640"/>
      <c r="F442" s="640"/>
      <c r="G442" s="640"/>
    </row>
    <row r="443" spans="1:7" ht="15" x14ac:dyDescent="0.25">
      <c r="A443" s="425" t="s">
        <v>62</v>
      </c>
      <c r="B443" s="425" t="s">
        <v>56</v>
      </c>
      <c r="C443" s="425" t="s">
        <v>57</v>
      </c>
      <c r="D443" s="425" t="s">
        <v>36</v>
      </c>
      <c r="E443" s="425" t="s">
        <v>58</v>
      </c>
      <c r="F443" s="425" t="s">
        <v>389</v>
      </c>
      <c r="G443" s="425" t="s">
        <v>59</v>
      </c>
    </row>
    <row r="444" spans="1:7" ht="28.5" x14ac:dyDescent="0.2">
      <c r="A444" s="453" t="s">
        <v>871</v>
      </c>
      <c r="B444" s="445" t="s">
        <v>4</v>
      </c>
      <c r="C444" s="444" t="s">
        <v>870</v>
      </c>
      <c r="D444" s="423">
        <v>1</v>
      </c>
      <c r="E444" s="424">
        <v>436.84</v>
      </c>
      <c r="F444" s="445" t="s">
        <v>390</v>
      </c>
      <c r="G444" s="424">
        <f>TRUNC(E444*D444,2)</f>
        <v>436.84</v>
      </c>
    </row>
    <row r="445" spans="1:7" ht="15" x14ac:dyDescent="0.25">
      <c r="A445" s="639" t="s">
        <v>61</v>
      </c>
      <c r="B445" s="639"/>
      <c r="C445" s="639"/>
      <c r="D445" s="639"/>
      <c r="E445" s="639"/>
      <c r="F445" s="639"/>
      <c r="G445" s="428">
        <f>SUM(G444:G444)</f>
        <v>436.84</v>
      </c>
    </row>
    <row r="446" spans="1:7" ht="14.25" x14ac:dyDescent="0.2">
      <c r="A446" s="641"/>
      <c r="B446" s="641"/>
      <c r="C446" s="641"/>
      <c r="D446" s="641"/>
      <c r="E446" s="641"/>
      <c r="F446" s="641"/>
      <c r="G446" s="641"/>
    </row>
    <row r="447" spans="1:7" ht="15" x14ac:dyDescent="0.25">
      <c r="A447" s="429" t="s">
        <v>67</v>
      </c>
      <c r="B447" s="430"/>
      <c r="C447" s="431">
        <f>G441</f>
        <v>34.760000000000005</v>
      </c>
      <c r="D447" s="642" t="s">
        <v>873</v>
      </c>
      <c r="E447" s="642"/>
      <c r="F447" s="642"/>
      <c r="G447" s="642"/>
    </row>
    <row r="448" spans="1:7" ht="15" x14ac:dyDescent="0.25">
      <c r="A448" s="429" t="s">
        <v>68</v>
      </c>
      <c r="B448" s="431"/>
      <c r="C448" s="431">
        <f>G445</f>
        <v>436.84</v>
      </c>
      <c r="D448" s="642"/>
      <c r="E448" s="642"/>
      <c r="F448" s="642"/>
      <c r="G448" s="642"/>
    </row>
    <row r="449" spans="1:7" ht="15" x14ac:dyDescent="0.25">
      <c r="A449" s="429" t="s">
        <v>69</v>
      </c>
      <c r="B449" s="429"/>
      <c r="C449" s="431">
        <v>0</v>
      </c>
      <c r="D449" s="642"/>
      <c r="E449" s="642"/>
      <c r="F449" s="642"/>
      <c r="G449" s="642"/>
    </row>
    <row r="450" spans="1:7" ht="15" x14ac:dyDescent="0.25">
      <c r="A450" s="429" t="s">
        <v>70</v>
      </c>
      <c r="B450" s="429"/>
      <c r="C450" s="431">
        <v>1</v>
      </c>
      <c r="D450" s="642"/>
      <c r="E450" s="642"/>
      <c r="F450" s="642"/>
      <c r="G450" s="642"/>
    </row>
    <row r="451" spans="1:7" ht="15" x14ac:dyDescent="0.25">
      <c r="A451" s="429" t="s">
        <v>71</v>
      </c>
      <c r="B451" s="429"/>
      <c r="C451" s="431">
        <f>C447+C449</f>
        <v>34.760000000000005</v>
      </c>
      <c r="D451" s="642"/>
      <c r="E451" s="642"/>
      <c r="F451" s="642"/>
      <c r="G451" s="642"/>
    </row>
    <row r="452" spans="1:7" ht="15" x14ac:dyDescent="0.25">
      <c r="A452" s="429" t="s">
        <v>72</v>
      </c>
      <c r="B452" s="429"/>
      <c r="C452" s="431">
        <f>(C447+C449)/C450</f>
        <v>34.760000000000005</v>
      </c>
      <c r="D452" s="642"/>
      <c r="E452" s="642"/>
      <c r="F452" s="642"/>
      <c r="G452" s="642"/>
    </row>
    <row r="453" spans="1:7" ht="15" x14ac:dyDescent="0.25">
      <c r="A453" s="429" t="s">
        <v>73</v>
      </c>
      <c r="B453" s="429"/>
      <c r="C453" s="431">
        <f>C448+C452</f>
        <v>471.59999999999997</v>
      </c>
      <c r="D453" s="642"/>
      <c r="E453" s="642"/>
      <c r="F453" s="642"/>
      <c r="G453" s="642"/>
    </row>
    <row r="454" spans="1:7" ht="15" x14ac:dyDescent="0.25">
      <c r="A454" s="429" t="s">
        <v>74</v>
      </c>
      <c r="B454" s="430">
        <v>0.2631</v>
      </c>
      <c r="C454" s="431">
        <f>C453*B454</f>
        <v>124.07795999999999</v>
      </c>
      <c r="D454" s="642"/>
      <c r="E454" s="642"/>
      <c r="F454" s="642"/>
      <c r="G454" s="642"/>
    </row>
    <row r="455" spans="1:7" ht="15" x14ac:dyDescent="0.25">
      <c r="A455" s="429" t="s">
        <v>75</v>
      </c>
      <c r="B455" s="643">
        <f>C453+C454</f>
        <v>595.67795999999998</v>
      </c>
      <c r="C455" s="643"/>
      <c r="D455" s="642"/>
      <c r="E455" s="642"/>
      <c r="F455" s="642"/>
      <c r="G455" s="642"/>
    </row>
  </sheetData>
  <mergeCells count="181">
    <mergeCell ref="E381:F381"/>
    <mergeCell ref="A381:D381"/>
    <mergeCell ref="E417:F417"/>
    <mergeCell ref="A417:D417"/>
    <mergeCell ref="E80:F80"/>
    <mergeCell ref="A80:D80"/>
    <mergeCell ref="E113:F113"/>
    <mergeCell ref="A113:D113"/>
    <mergeCell ref="E142:F142"/>
    <mergeCell ref="A142:D142"/>
    <mergeCell ref="E172:F172"/>
    <mergeCell ref="A172:D172"/>
    <mergeCell ref="E195:F195"/>
    <mergeCell ref="A195:D195"/>
    <mergeCell ref="B282:C282"/>
    <mergeCell ref="B238:C238"/>
    <mergeCell ref="A216:G216"/>
    <mergeCell ref="A222:G222"/>
    <mergeCell ref="B215:C215"/>
    <mergeCell ref="A194:G194"/>
    <mergeCell ref="A200:G200"/>
    <mergeCell ref="A228:G228"/>
    <mergeCell ref="D229:G238"/>
    <mergeCell ref="A239:G239"/>
    <mergeCell ref="A1:F1"/>
    <mergeCell ref="A2:D2"/>
    <mergeCell ref="A3:D3"/>
    <mergeCell ref="E3:F3"/>
    <mergeCell ref="A4:F4"/>
    <mergeCell ref="E2:G2"/>
    <mergeCell ref="E7:F7"/>
    <mergeCell ref="A7:D7"/>
    <mergeCell ref="D427:G435"/>
    <mergeCell ref="B435:C435"/>
    <mergeCell ref="A416:G416"/>
    <mergeCell ref="A421:F421"/>
    <mergeCell ref="A422:G422"/>
    <mergeCell ref="A425:F425"/>
    <mergeCell ref="A426:G426"/>
    <mergeCell ref="A261:G261"/>
    <mergeCell ref="A266:F266"/>
    <mergeCell ref="A267:G267"/>
    <mergeCell ref="A270:F270"/>
    <mergeCell ref="A271:G271"/>
    <mergeCell ref="A272:G272"/>
    <mergeCell ref="E262:F262"/>
    <mergeCell ref="A262:D262"/>
    <mergeCell ref="D273:G282"/>
    <mergeCell ref="A141:G141"/>
    <mergeCell ref="B140:C140"/>
    <mergeCell ref="A118:G118"/>
    <mergeCell ref="A130:G130"/>
    <mergeCell ref="B111:C111"/>
    <mergeCell ref="D102:G111"/>
    <mergeCell ref="A85:G85"/>
    <mergeCell ref="A101:G101"/>
    <mergeCell ref="A112:G112"/>
    <mergeCell ref="A117:F117"/>
    <mergeCell ref="A128:F128"/>
    <mergeCell ref="A129:G129"/>
    <mergeCell ref="D131:G140"/>
    <mergeCell ref="D40:G49"/>
    <mergeCell ref="A33:F33"/>
    <mergeCell ref="A37:F37"/>
    <mergeCell ref="B49:C49"/>
    <mergeCell ref="A34:G34"/>
    <mergeCell ref="E29:F29"/>
    <mergeCell ref="A29:D29"/>
    <mergeCell ref="A124:G124"/>
    <mergeCell ref="A123:F123"/>
    <mergeCell ref="A55:F55"/>
    <mergeCell ref="A66:F66"/>
    <mergeCell ref="A56:G56"/>
    <mergeCell ref="B78:C78"/>
    <mergeCell ref="A67:G67"/>
    <mergeCell ref="D68:G78"/>
    <mergeCell ref="A68:C68"/>
    <mergeCell ref="A50:G50"/>
    <mergeCell ref="E51:F51"/>
    <mergeCell ref="A51:D51"/>
    <mergeCell ref="A79:G79"/>
    <mergeCell ref="A84:F84"/>
    <mergeCell ref="A99:F99"/>
    <mergeCell ref="A100:G100"/>
    <mergeCell ref="A12:G12"/>
    <mergeCell ref="A38:G38"/>
    <mergeCell ref="A16:G16"/>
    <mergeCell ref="A28:G28"/>
    <mergeCell ref="A11:F11"/>
    <mergeCell ref="A15:F15"/>
    <mergeCell ref="D18:G27"/>
    <mergeCell ref="A17:G17"/>
    <mergeCell ref="A39:G39"/>
    <mergeCell ref="A146:F146"/>
    <mergeCell ref="A158:F158"/>
    <mergeCell ref="A159:G159"/>
    <mergeCell ref="A160:G160"/>
    <mergeCell ref="D161:G170"/>
    <mergeCell ref="E217:F217"/>
    <mergeCell ref="A217:D217"/>
    <mergeCell ref="E240:F240"/>
    <mergeCell ref="A240:D240"/>
    <mergeCell ref="A171:G171"/>
    <mergeCell ref="A182:G182"/>
    <mergeCell ref="A249:G249"/>
    <mergeCell ref="A250:G250"/>
    <mergeCell ref="B27:C27"/>
    <mergeCell ref="D251:G260"/>
    <mergeCell ref="A244:F244"/>
    <mergeCell ref="A248:F248"/>
    <mergeCell ref="B193:C193"/>
    <mergeCell ref="D184:G193"/>
    <mergeCell ref="A177:G177"/>
    <mergeCell ref="A199:F199"/>
    <mergeCell ref="A203:F203"/>
    <mergeCell ref="A205:G205"/>
    <mergeCell ref="D206:G215"/>
    <mergeCell ref="A204:G204"/>
    <mergeCell ref="A245:G245"/>
    <mergeCell ref="B260:C260"/>
    <mergeCell ref="A221:F221"/>
    <mergeCell ref="A226:F226"/>
    <mergeCell ref="A227:G227"/>
    <mergeCell ref="A183:G183"/>
    <mergeCell ref="A176:F176"/>
    <mergeCell ref="A181:F181"/>
    <mergeCell ref="B170:C170"/>
    <mergeCell ref="A147:G147"/>
    <mergeCell ref="D295:G304"/>
    <mergeCell ref="A283:G283"/>
    <mergeCell ref="B304:C304"/>
    <mergeCell ref="A288:F288"/>
    <mergeCell ref="A289:G289"/>
    <mergeCell ref="A292:F292"/>
    <mergeCell ref="A293:G293"/>
    <mergeCell ref="A294:G294"/>
    <mergeCell ref="E284:F284"/>
    <mergeCell ref="A284:D284"/>
    <mergeCell ref="A363:F363"/>
    <mergeCell ref="A364:G364"/>
    <mergeCell ref="A367:E367"/>
    <mergeCell ref="B379:C379"/>
    <mergeCell ref="A312:F312"/>
    <mergeCell ref="A313:G313"/>
    <mergeCell ref="A324:F324"/>
    <mergeCell ref="A325:G325"/>
    <mergeCell ref="A328:E328"/>
    <mergeCell ref="B340:C340"/>
    <mergeCell ref="E306:F306"/>
    <mergeCell ref="A306:D306"/>
    <mergeCell ref="E342:F342"/>
    <mergeCell ref="A342:D342"/>
    <mergeCell ref="B415:C415"/>
    <mergeCell ref="A305:G305"/>
    <mergeCell ref="A330:G330"/>
    <mergeCell ref="D331:G340"/>
    <mergeCell ref="A329:G329"/>
    <mergeCell ref="A341:G341"/>
    <mergeCell ref="A368:G368"/>
    <mergeCell ref="D370:G379"/>
    <mergeCell ref="A369:G369"/>
    <mergeCell ref="A404:G404"/>
    <mergeCell ref="A405:G405"/>
    <mergeCell ref="D406:G415"/>
    <mergeCell ref="A380:G380"/>
    <mergeCell ref="A387:F387"/>
    <mergeCell ref="A388:G388"/>
    <mergeCell ref="A399:F399"/>
    <mergeCell ref="A400:G400"/>
    <mergeCell ref="A403:E403"/>
    <mergeCell ref="A348:F348"/>
    <mergeCell ref="A349:G349"/>
    <mergeCell ref="A437:D437"/>
    <mergeCell ref="E437:F437"/>
    <mergeCell ref="A441:F441"/>
    <mergeCell ref="A442:G442"/>
    <mergeCell ref="A445:F445"/>
    <mergeCell ref="A446:G446"/>
    <mergeCell ref="D447:G455"/>
    <mergeCell ref="B455:C455"/>
    <mergeCell ref="A436:G436"/>
  </mergeCells>
  <phoneticPr fontId="45" type="noConversion"/>
  <printOptions horizontalCentered="1"/>
  <pageMargins left="0.51181102362204722" right="0.51181102362204722" top="0.82677165354330717" bottom="0.78740157480314965" header="0.19685039370078741" footer="0.31496062992125984"/>
  <pageSetup paperSize="9" scale="85" fitToWidth="0" fitToHeight="0" orientation="portrait" verticalDpi="3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
  <sheetViews>
    <sheetView view="pageBreakPreview" zoomScale="130" zoomScaleNormal="100" zoomScaleSheetLayoutView="130" workbookViewId="0">
      <selection activeCell="E3" sqref="E3:F3"/>
    </sheetView>
  </sheetViews>
  <sheetFormatPr defaultRowHeight="12.75" x14ac:dyDescent="0.2"/>
  <cols>
    <col min="1" max="1" width="9.7109375" customWidth="1"/>
    <col min="2" max="2" width="35.42578125" customWidth="1"/>
    <col min="3" max="3" width="12.5703125" customWidth="1"/>
    <col min="4" max="4" width="11.5703125" customWidth="1"/>
    <col min="5" max="5" width="12.5703125" customWidth="1"/>
    <col min="6" max="6" width="14.7109375" customWidth="1"/>
  </cols>
  <sheetData>
    <row r="1" spans="1:8" ht="15" x14ac:dyDescent="0.2">
      <c r="A1" s="651" t="s">
        <v>845</v>
      </c>
      <c r="B1" s="652"/>
      <c r="C1" s="652"/>
      <c r="D1" s="652"/>
      <c r="E1" s="652"/>
      <c r="F1" s="666"/>
      <c r="G1" s="667"/>
      <c r="H1" s="667"/>
    </row>
    <row r="2" spans="1:8" x14ac:dyDescent="0.2">
      <c r="A2" s="578" t="s">
        <v>806</v>
      </c>
      <c r="B2" s="521"/>
      <c r="C2" s="521"/>
      <c r="D2" s="521"/>
      <c r="E2" s="669" t="s">
        <v>874</v>
      </c>
      <c r="F2" s="670"/>
      <c r="G2" s="396"/>
      <c r="H2" s="395"/>
    </row>
    <row r="3" spans="1:8" x14ac:dyDescent="0.2">
      <c r="A3" s="578" t="s">
        <v>859</v>
      </c>
      <c r="B3" s="521"/>
      <c r="C3" s="521"/>
      <c r="D3" s="521"/>
      <c r="E3" s="516"/>
      <c r="F3" s="668"/>
      <c r="G3" s="525"/>
      <c r="H3" s="525"/>
    </row>
    <row r="4" spans="1:8" x14ac:dyDescent="0.2">
      <c r="A4" s="680" t="s">
        <v>848</v>
      </c>
      <c r="B4" s="681"/>
      <c r="C4" s="681"/>
      <c r="D4" s="681"/>
      <c r="E4" s="681"/>
      <c r="F4" s="682"/>
      <c r="G4" s="526"/>
      <c r="H4" s="526"/>
    </row>
    <row r="5" spans="1:8" x14ac:dyDescent="0.2">
      <c r="A5" s="414" t="s">
        <v>35</v>
      </c>
      <c r="B5" s="405"/>
      <c r="C5" s="405"/>
      <c r="D5" s="405"/>
      <c r="E5" s="409"/>
      <c r="F5" s="415"/>
      <c r="G5" s="409"/>
      <c r="H5" s="33"/>
    </row>
    <row r="6" spans="1:8" x14ac:dyDescent="0.2">
      <c r="A6" s="416"/>
      <c r="B6" s="407"/>
      <c r="C6" s="407"/>
      <c r="D6" s="407"/>
      <c r="E6" s="406"/>
      <c r="F6" s="417"/>
      <c r="G6" s="406"/>
      <c r="H6" s="33"/>
    </row>
    <row r="7" spans="1:8" ht="15" customHeight="1" x14ac:dyDescent="0.2">
      <c r="A7" s="679" t="s">
        <v>847</v>
      </c>
      <c r="B7" s="679"/>
      <c r="C7" s="679"/>
      <c r="D7" s="677" t="s">
        <v>846</v>
      </c>
      <c r="E7" s="678"/>
      <c r="F7" s="304" t="s">
        <v>4</v>
      </c>
      <c r="G7" s="408"/>
    </row>
    <row r="8" spans="1:8" x14ac:dyDescent="0.2">
      <c r="A8" s="663"/>
      <c r="B8" s="663"/>
      <c r="C8" s="663"/>
      <c r="D8" s="663"/>
      <c r="E8" s="663"/>
      <c r="F8" s="663"/>
    </row>
    <row r="9" spans="1:8" ht="25.5" customHeight="1" x14ac:dyDescent="0.2">
      <c r="A9" s="660" t="s">
        <v>45</v>
      </c>
      <c r="B9" s="410" t="s">
        <v>133</v>
      </c>
      <c r="C9" s="660" t="s">
        <v>46</v>
      </c>
      <c r="D9" s="661" t="s">
        <v>47</v>
      </c>
      <c r="E9" s="660" t="s">
        <v>48</v>
      </c>
      <c r="F9" s="661" t="s">
        <v>49</v>
      </c>
    </row>
    <row r="10" spans="1:8" x14ac:dyDescent="0.2">
      <c r="A10" s="660"/>
      <c r="B10" s="410" t="s">
        <v>132</v>
      </c>
      <c r="C10" s="660"/>
      <c r="D10" s="661"/>
      <c r="E10" s="660"/>
      <c r="F10" s="661"/>
    </row>
    <row r="11" spans="1:8" x14ac:dyDescent="0.2">
      <c r="A11" s="660"/>
      <c r="B11" s="397" t="s">
        <v>131</v>
      </c>
      <c r="C11" s="397" t="s">
        <v>4</v>
      </c>
      <c r="D11" s="219">
        <v>1</v>
      </c>
      <c r="E11" s="412">
        <v>229</v>
      </c>
      <c r="F11" s="412">
        <f>PRODUCT(D11,E11)</f>
        <v>229</v>
      </c>
    </row>
    <row r="12" spans="1:8" x14ac:dyDescent="0.2">
      <c r="A12" s="662" t="s">
        <v>50</v>
      </c>
      <c r="B12" s="662"/>
      <c r="C12" s="662"/>
      <c r="D12" s="662"/>
      <c r="E12" s="662"/>
      <c r="F12" s="99">
        <f>SUM(F9:F11)</f>
        <v>229</v>
      </c>
    </row>
    <row r="13" spans="1:8" x14ac:dyDescent="0.2">
      <c r="A13" s="663"/>
      <c r="B13" s="663"/>
      <c r="C13" s="663"/>
      <c r="D13" s="663"/>
      <c r="E13" s="663"/>
      <c r="F13" s="663"/>
    </row>
    <row r="14" spans="1:8" ht="25.5" customHeight="1" x14ac:dyDescent="0.2">
      <c r="A14" s="660" t="s">
        <v>51</v>
      </c>
      <c r="B14" s="410" t="s">
        <v>134</v>
      </c>
      <c r="C14" s="660" t="s">
        <v>46</v>
      </c>
      <c r="D14" s="661" t="s">
        <v>47</v>
      </c>
      <c r="E14" s="660" t="s">
        <v>48</v>
      </c>
      <c r="F14" s="661" t="s">
        <v>49</v>
      </c>
    </row>
    <row r="15" spans="1:8" x14ac:dyDescent="0.2">
      <c r="A15" s="660"/>
      <c r="B15" s="410" t="s">
        <v>138</v>
      </c>
      <c r="C15" s="660"/>
      <c r="D15" s="661"/>
      <c r="E15" s="660"/>
      <c r="F15" s="661"/>
    </row>
    <row r="16" spans="1:8" x14ac:dyDescent="0.2">
      <c r="A16" s="660"/>
      <c r="B16" s="397" t="s">
        <v>131</v>
      </c>
      <c r="C16" s="397" t="s">
        <v>4</v>
      </c>
      <c r="D16" s="219">
        <v>1</v>
      </c>
      <c r="E16" s="412">
        <v>192.5</v>
      </c>
      <c r="F16" s="412">
        <f>PRODUCT(D16,E16)</f>
        <v>192.5</v>
      </c>
    </row>
    <row r="17" spans="1:6" x14ac:dyDescent="0.2">
      <c r="A17" s="662" t="s">
        <v>52</v>
      </c>
      <c r="B17" s="662"/>
      <c r="C17" s="662"/>
      <c r="D17" s="662"/>
      <c r="E17" s="662"/>
      <c r="F17" s="99">
        <f>SUM(F14:F16)</f>
        <v>192.5</v>
      </c>
    </row>
    <row r="18" spans="1:6" x14ac:dyDescent="0.2">
      <c r="A18" s="663"/>
      <c r="B18" s="663"/>
      <c r="C18" s="663"/>
      <c r="D18" s="663"/>
      <c r="E18" s="663"/>
      <c r="F18" s="663"/>
    </row>
    <row r="19" spans="1:6" ht="25.5" customHeight="1" x14ac:dyDescent="0.2">
      <c r="A19" s="660" t="s">
        <v>53</v>
      </c>
      <c r="B19" s="410" t="s">
        <v>139</v>
      </c>
      <c r="C19" s="660" t="s">
        <v>46</v>
      </c>
      <c r="D19" s="661" t="s">
        <v>47</v>
      </c>
      <c r="E19" s="660" t="s">
        <v>48</v>
      </c>
      <c r="F19" s="661" t="s">
        <v>49</v>
      </c>
    </row>
    <row r="20" spans="1:6" x14ac:dyDescent="0.2">
      <c r="A20" s="660"/>
      <c r="B20" s="397" t="s">
        <v>140</v>
      </c>
      <c r="C20" s="660"/>
      <c r="D20" s="661"/>
      <c r="E20" s="660"/>
      <c r="F20" s="661"/>
    </row>
    <row r="21" spans="1:6" x14ac:dyDescent="0.2">
      <c r="A21" s="660"/>
      <c r="B21" s="397" t="s">
        <v>131</v>
      </c>
      <c r="C21" s="397" t="s">
        <v>4</v>
      </c>
      <c r="D21" s="219">
        <v>1</v>
      </c>
      <c r="E21" s="412">
        <v>239</v>
      </c>
      <c r="F21" s="412">
        <f>PRODUCT(D21,E21)</f>
        <v>239</v>
      </c>
    </row>
    <row r="22" spans="1:6" x14ac:dyDescent="0.2">
      <c r="A22" s="662" t="s">
        <v>54</v>
      </c>
      <c r="B22" s="662"/>
      <c r="C22" s="662"/>
      <c r="D22" s="662"/>
      <c r="E22" s="662"/>
      <c r="F22" s="99">
        <f>SUM(F19:F21)</f>
        <v>239</v>
      </c>
    </row>
    <row r="23" spans="1:6" x14ac:dyDescent="0.2">
      <c r="A23" s="663"/>
      <c r="B23" s="663"/>
      <c r="C23" s="663"/>
      <c r="D23" s="663"/>
      <c r="E23" s="663"/>
      <c r="F23" s="663"/>
    </row>
    <row r="24" spans="1:6" x14ac:dyDescent="0.2">
      <c r="A24" s="662" t="s">
        <v>55</v>
      </c>
      <c r="B24" s="664"/>
      <c r="C24" s="664"/>
      <c r="D24" s="664"/>
      <c r="E24" s="664"/>
      <c r="F24" s="240">
        <f>SUM(F12,F17,F22)/3</f>
        <v>220.16666666666666</v>
      </c>
    </row>
    <row r="25" spans="1:6" x14ac:dyDescent="0.2">
      <c r="A25" s="665"/>
      <c r="B25" s="665"/>
      <c r="C25" s="665"/>
      <c r="D25" s="665"/>
      <c r="E25" s="665"/>
      <c r="F25" s="665"/>
    </row>
    <row r="26" spans="1:6" x14ac:dyDescent="0.2">
      <c r="A26" s="671" t="s">
        <v>224</v>
      </c>
      <c r="B26" s="673"/>
      <c r="C26" s="672"/>
      <c r="D26" s="674" t="s">
        <v>849</v>
      </c>
      <c r="E26" s="675"/>
      <c r="F26" s="413" t="s">
        <v>4</v>
      </c>
    </row>
    <row r="27" spans="1:6" x14ac:dyDescent="0.2">
      <c r="A27" s="665"/>
      <c r="B27" s="665"/>
      <c r="C27" s="665"/>
      <c r="D27" s="665"/>
      <c r="E27" s="665"/>
      <c r="F27" s="665"/>
    </row>
    <row r="28" spans="1:6" ht="25.5" x14ac:dyDescent="0.2">
      <c r="A28" s="660" t="s">
        <v>45</v>
      </c>
      <c r="B28" s="410" t="s">
        <v>217</v>
      </c>
      <c r="C28" s="660" t="s">
        <v>46</v>
      </c>
      <c r="D28" s="661" t="s">
        <v>47</v>
      </c>
      <c r="E28" s="660" t="s">
        <v>48</v>
      </c>
      <c r="F28" s="661" t="s">
        <v>49</v>
      </c>
    </row>
    <row r="29" spans="1:6" x14ac:dyDescent="0.2">
      <c r="A29" s="660"/>
      <c r="B29" s="410" t="s">
        <v>219</v>
      </c>
      <c r="C29" s="660"/>
      <c r="D29" s="661"/>
      <c r="E29" s="660"/>
      <c r="F29" s="661"/>
    </row>
    <row r="30" spans="1:6" x14ac:dyDescent="0.2">
      <c r="A30" s="660"/>
      <c r="B30" s="398" t="s">
        <v>218</v>
      </c>
      <c r="C30" s="397" t="s">
        <v>4</v>
      </c>
      <c r="D30" s="219">
        <v>1</v>
      </c>
      <c r="E30" s="412">
        <v>104.5</v>
      </c>
      <c r="F30" s="412">
        <f>PRODUCT(D30,E30)</f>
        <v>104.5</v>
      </c>
    </row>
    <row r="31" spans="1:6" x14ac:dyDescent="0.2">
      <c r="A31" s="662" t="s">
        <v>50</v>
      </c>
      <c r="B31" s="662"/>
      <c r="C31" s="662"/>
      <c r="D31" s="662"/>
      <c r="E31" s="662"/>
      <c r="F31" s="99">
        <f>SUM(F28:F30)</f>
        <v>104.5</v>
      </c>
    </row>
    <row r="32" spans="1:6" x14ac:dyDescent="0.2">
      <c r="A32" s="663"/>
      <c r="B32" s="663"/>
      <c r="C32" s="663"/>
      <c r="D32" s="663"/>
      <c r="E32" s="663"/>
      <c r="F32" s="663"/>
    </row>
    <row r="33" spans="1:6" ht="25.5" x14ac:dyDescent="0.2">
      <c r="A33" s="660" t="s">
        <v>51</v>
      </c>
      <c r="B33" s="410" t="s">
        <v>221</v>
      </c>
      <c r="C33" s="660" t="s">
        <v>46</v>
      </c>
      <c r="D33" s="661" t="s">
        <v>47</v>
      </c>
      <c r="E33" s="660" t="s">
        <v>48</v>
      </c>
      <c r="F33" s="661" t="s">
        <v>49</v>
      </c>
    </row>
    <row r="34" spans="1:6" x14ac:dyDescent="0.2">
      <c r="A34" s="660"/>
      <c r="B34" s="410" t="s">
        <v>220</v>
      </c>
      <c r="C34" s="660"/>
      <c r="D34" s="661"/>
      <c r="E34" s="660"/>
      <c r="F34" s="661"/>
    </row>
    <row r="35" spans="1:6" x14ac:dyDescent="0.2">
      <c r="A35" s="660"/>
      <c r="B35" s="398" t="s">
        <v>218</v>
      </c>
      <c r="C35" s="397" t="s">
        <v>4</v>
      </c>
      <c r="D35" s="219">
        <v>1</v>
      </c>
      <c r="E35" s="412">
        <v>152</v>
      </c>
      <c r="F35" s="412">
        <f>PRODUCT(D35,E35)</f>
        <v>152</v>
      </c>
    </row>
    <row r="36" spans="1:6" x14ac:dyDescent="0.2">
      <c r="A36" s="662" t="s">
        <v>52</v>
      </c>
      <c r="B36" s="662"/>
      <c r="C36" s="662"/>
      <c r="D36" s="662"/>
      <c r="E36" s="662"/>
      <c r="F36" s="99">
        <f>SUM(F33:F35)</f>
        <v>152</v>
      </c>
    </row>
    <row r="37" spans="1:6" x14ac:dyDescent="0.2">
      <c r="A37" s="663"/>
      <c r="B37" s="663"/>
      <c r="C37" s="663"/>
      <c r="D37" s="663"/>
      <c r="E37" s="663"/>
      <c r="F37" s="663"/>
    </row>
    <row r="38" spans="1:6" ht="25.5" x14ac:dyDescent="0.2">
      <c r="A38" s="660" t="s">
        <v>53</v>
      </c>
      <c r="B38" s="410" t="s">
        <v>222</v>
      </c>
      <c r="C38" s="660" t="s">
        <v>46</v>
      </c>
      <c r="D38" s="661" t="s">
        <v>47</v>
      </c>
      <c r="E38" s="660" t="s">
        <v>48</v>
      </c>
      <c r="F38" s="661" t="s">
        <v>49</v>
      </c>
    </row>
    <row r="39" spans="1:6" x14ac:dyDescent="0.2">
      <c r="A39" s="660"/>
      <c r="B39" s="397" t="s">
        <v>223</v>
      </c>
      <c r="C39" s="660"/>
      <c r="D39" s="661"/>
      <c r="E39" s="660"/>
      <c r="F39" s="661"/>
    </row>
    <row r="40" spans="1:6" x14ac:dyDescent="0.2">
      <c r="A40" s="660"/>
      <c r="B40" s="398" t="s">
        <v>218</v>
      </c>
      <c r="C40" s="397" t="s">
        <v>4</v>
      </c>
      <c r="D40" s="219">
        <v>1</v>
      </c>
      <c r="E40" s="412">
        <v>192.15</v>
      </c>
      <c r="F40" s="412">
        <f>PRODUCT(D40,E40)</f>
        <v>192.15</v>
      </c>
    </row>
    <row r="41" spans="1:6" x14ac:dyDescent="0.2">
      <c r="A41" s="662" t="s">
        <v>54</v>
      </c>
      <c r="B41" s="662"/>
      <c r="C41" s="662"/>
      <c r="D41" s="662"/>
      <c r="E41" s="662"/>
      <c r="F41" s="99">
        <f>SUM(F38:F40)</f>
        <v>192.15</v>
      </c>
    </row>
    <row r="42" spans="1:6" x14ac:dyDescent="0.2">
      <c r="A42" s="663"/>
      <c r="B42" s="663"/>
      <c r="C42" s="663"/>
      <c r="D42" s="663"/>
      <c r="E42" s="663"/>
      <c r="F42" s="663"/>
    </row>
    <row r="43" spans="1:6" x14ac:dyDescent="0.2">
      <c r="A43" s="662" t="s">
        <v>55</v>
      </c>
      <c r="B43" s="664"/>
      <c r="C43" s="664"/>
      <c r="D43" s="664"/>
      <c r="E43" s="664"/>
      <c r="F43" s="240">
        <f>SUM(F31,F36,F41)/3</f>
        <v>149.54999999999998</v>
      </c>
    </row>
    <row r="44" spans="1:6" x14ac:dyDescent="0.2">
      <c r="A44" s="665"/>
      <c r="B44" s="665"/>
      <c r="C44" s="665"/>
      <c r="D44" s="665"/>
      <c r="E44" s="665"/>
      <c r="F44" s="665"/>
    </row>
    <row r="45" spans="1:6" x14ac:dyDescent="0.2">
      <c r="A45" s="674" t="s">
        <v>851</v>
      </c>
      <c r="B45" s="676"/>
      <c r="C45" s="675"/>
      <c r="D45" s="674" t="s">
        <v>850</v>
      </c>
      <c r="E45" s="675"/>
      <c r="F45" s="413" t="s">
        <v>4</v>
      </c>
    </row>
    <row r="46" spans="1:6" x14ac:dyDescent="0.2">
      <c r="A46" s="665"/>
      <c r="B46" s="665"/>
      <c r="C46" s="665"/>
      <c r="D46" s="665"/>
      <c r="E46" s="665"/>
      <c r="F46" s="665"/>
    </row>
    <row r="47" spans="1:6" x14ac:dyDescent="0.2">
      <c r="A47" s="660" t="s">
        <v>45</v>
      </c>
      <c r="B47" s="410" t="s">
        <v>254</v>
      </c>
      <c r="C47" s="660" t="s">
        <v>46</v>
      </c>
      <c r="D47" s="661" t="s">
        <v>47</v>
      </c>
      <c r="E47" s="660" t="s">
        <v>48</v>
      </c>
      <c r="F47" s="661" t="s">
        <v>49</v>
      </c>
    </row>
    <row r="48" spans="1:6" x14ac:dyDescent="0.2">
      <c r="A48" s="660"/>
      <c r="B48" s="410" t="s">
        <v>255</v>
      </c>
      <c r="C48" s="660"/>
      <c r="D48" s="661"/>
      <c r="E48" s="660"/>
      <c r="F48" s="661"/>
    </row>
    <row r="49" spans="1:6" x14ac:dyDescent="0.2">
      <c r="A49" s="660"/>
      <c r="B49" s="398" t="s">
        <v>256</v>
      </c>
      <c r="C49" s="397" t="s">
        <v>4</v>
      </c>
      <c r="D49" s="219">
        <v>1</v>
      </c>
      <c r="E49" s="412">
        <v>55</v>
      </c>
      <c r="F49" s="412">
        <f>PRODUCT(D49,E49)</f>
        <v>55</v>
      </c>
    </row>
    <row r="50" spans="1:6" x14ac:dyDescent="0.2">
      <c r="A50" s="662" t="s">
        <v>50</v>
      </c>
      <c r="B50" s="662"/>
      <c r="C50" s="662"/>
      <c r="D50" s="662"/>
      <c r="E50" s="662"/>
      <c r="F50" s="99">
        <f>SUM(F47:F49)</f>
        <v>55</v>
      </c>
    </row>
    <row r="51" spans="1:6" x14ac:dyDescent="0.2">
      <c r="A51" s="663"/>
      <c r="B51" s="663"/>
      <c r="C51" s="663"/>
      <c r="D51" s="663"/>
      <c r="E51" s="663"/>
      <c r="F51" s="663"/>
    </row>
    <row r="52" spans="1:6" ht="25.5" x14ac:dyDescent="0.2">
      <c r="A52" s="660" t="s">
        <v>51</v>
      </c>
      <c r="B52" s="410" t="s">
        <v>257</v>
      </c>
      <c r="C52" s="660" t="s">
        <v>46</v>
      </c>
      <c r="D52" s="661" t="s">
        <v>47</v>
      </c>
      <c r="E52" s="660" t="s">
        <v>48</v>
      </c>
      <c r="F52" s="661" t="s">
        <v>49</v>
      </c>
    </row>
    <row r="53" spans="1:6" x14ac:dyDescent="0.2">
      <c r="A53" s="660"/>
      <c r="B53" s="410" t="s">
        <v>258</v>
      </c>
      <c r="C53" s="660"/>
      <c r="D53" s="661"/>
      <c r="E53" s="660"/>
      <c r="F53" s="661"/>
    </row>
    <row r="54" spans="1:6" x14ac:dyDescent="0.2">
      <c r="A54" s="660"/>
      <c r="B54" s="398" t="s">
        <v>253</v>
      </c>
      <c r="C54" s="397" t="s">
        <v>4</v>
      </c>
      <c r="D54" s="219">
        <v>1</v>
      </c>
      <c r="E54" s="412">
        <v>50</v>
      </c>
      <c r="F54" s="412">
        <f>PRODUCT(D54,E54)</f>
        <v>50</v>
      </c>
    </row>
    <row r="55" spans="1:6" x14ac:dyDescent="0.2">
      <c r="A55" s="662" t="s">
        <v>52</v>
      </c>
      <c r="B55" s="662"/>
      <c r="C55" s="662"/>
      <c r="D55" s="662"/>
      <c r="E55" s="662"/>
      <c r="F55" s="99">
        <f>SUM(F52:F54)</f>
        <v>50</v>
      </c>
    </row>
    <row r="56" spans="1:6" x14ac:dyDescent="0.2">
      <c r="A56" s="663"/>
      <c r="B56" s="663"/>
      <c r="C56" s="663"/>
      <c r="D56" s="663"/>
      <c r="E56" s="663"/>
      <c r="F56" s="663"/>
    </row>
    <row r="57" spans="1:6" ht="25.5" x14ac:dyDescent="0.2">
      <c r="A57" s="660" t="s">
        <v>53</v>
      </c>
      <c r="B57" s="410" t="s">
        <v>259</v>
      </c>
      <c r="C57" s="660" t="s">
        <v>46</v>
      </c>
      <c r="D57" s="661" t="s">
        <v>47</v>
      </c>
      <c r="E57" s="660" t="s">
        <v>48</v>
      </c>
      <c r="F57" s="661" t="s">
        <v>49</v>
      </c>
    </row>
    <row r="58" spans="1:6" x14ac:dyDescent="0.2">
      <c r="A58" s="660"/>
      <c r="B58" s="397" t="s">
        <v>260</v>
      </c>
      <c r="C58" s="660"/>
      <c r="D58" s="661"/>
      <c r="E58" s="660"/>
      <c r="F58" s="661"/>
    </row>
    <row r="59" spans="1:6" x14ac:dyDescent="0.2">
      <c r="A59" s="660"/>
      <c r="B59" s="398" t="s">
        <v>253</v>
      </c>
      <c r="C59" s="397" t="s">
        <v>4</v>
      </c>
      <c r="D59" s="219">
        <v>1</v>
      </c>
      <c r="E59" s="412">
        <v>55.5</v>
      </c>
      <c r="F59" s="412">
        <f>PRODUCT(D59,E59)</f>
        <v>55.5</v>
      </c>
    </row>
    <row r="60" spans="1:6" x14ac:dyDescent="0.2">
      <c r="A60" s="662" t="s">
        <v>54</v>
      </c>
      <c r="B60" s="662"/>
      <c r="C60" s="662"/>
      <c r="D60" s="662"/>
      <c r="E60" s="662"/>
      <c r="F60" s="99">
        <f>SUM(F57:F59)</f>
        <v>55.5</v>
      </c>
    </row>
    <row r="61" spans="1:6" x14ac:dyDescent="0.2">
      <c r="A61" s="663"/>
      <c r="B61" s="663"/>
      <c r="C61" s="663"/>
      <c r="D61" s="663"/>
      <c r="E61" s="663"/>
      <c r="F61" s="663"/>
    </row>
    <row r="62" spans="1:6" x14ac:dyDescent="0.2">
      <c r="A62" s="662" t="s">
        <v>55</v>
      </c>
      <c r="B62" s="664"/>
      <c r="C62" s="664"/>
      <c r="D62" s="664"/>
      <c r="E62" s="664"/>
      <c r="F62" s="240">
        <f>SUM(F50,F55,F60)/3</f>
        <v>53.5</v>
      </c>
    </row>
    <row r="63" spans="1:6" x14ac:dyDescent="0.2">
      <c r="A63" s="665"/>
      <c r="B63" s="665"/>
      <c r="C63" s="665"/>
      <c r="D63" s="665"/>
      <c r="E63" s="665"/>
      <c r="F63" s="665"/>
    </row>
    <row r="64" spans="1:6" x14ac:dyDescent="0.2">
      <c r="A64" s="671" t="s">
        <v>278</v>
      </c>
      <c r="B64" s="673"/>
      <c r="C64" s="672"/>
      <c r="D64" s="671" t="s">
        <v>852</v>
      </c>
      <c r="E64" s="672"/>
      <c r="F64" s="418" t="s">
        <v>4</v>
      </c>
    </row>
    <row r="65" spans="1:6" x14ac:dyDescent="0.2">
      <c r="A65" s="665"/>
      <c r="B65" s="665"/>
      <c r="C65" s="665"/>
      <c r="D65" s="665"/>
      <c r="E65" s="665"/>
      <c r="F65" s="665"/>
    </row>
    <row r="66" spans="1:6" x14ac:dyDescent="0.2">
      <c r="A66" s="660" t="s">
        <v>45</v>
      </c>
      <c r="B66" s="410" t="s">
        <v>279</v>
      </c>
      <c r="C66" s="660" t="s">
        <v>46</v>
      </c>
      <c r="D66" s="661" t="s">
        <v>47</v>
      </c>
      <c r="E66" s="660" t="s">
        <v>48</v>
      </c>
      <c r="F66" s="661" t="s">
        <v>49</v>
      </c>
    </row>
    <row r="67" spans="1:6" x14ac:dyDescent="0.2">
      <c r="A67" s="660"/>
      <c r="B67" s="410" t="s">
        <v>280</v>
      </c>
      <c r="C67" s="660"/>
      <c r="D67" s="661"/>
      <c r="E67" s="660"/>
      <c r="F67" s="661"/>
    </row>
    <row r="68" spans="1:6" x14ac:dyDescent="0.2">
      <c r="A68" s="660"/>
      <c r="B68" s="398" t="s">
        <v>281</v>
      </c>
      <c r="C68" s="397" t="s">
        <v>4</v>
      </c>
      <c r="D68" s="219">
        <v>1</v>
      </c>
      <c r="E68" s="412">
        <v>39</v>
      </c>
      <c r="F68" s="412">
        <f>PRODUCT(D68,E68)</f>
        <v>39</v>
      </c>
    </row>
    <row r="69" spans="1:6" x14ac:dyDescent="0.2">
      <c r="A69" s="662" t="s">
        <v>50</v>
      </c>
      <c r="B69" s="662"/>
      <c r="C69" s="662"/>
      <c r="D69" s="662"/>
      <c r="E69" s="662"/>
      <c r="F69" s="99">
        <f>SUM(F66:F68)</f>
        <v>39</v>
      </c>
    </row>
    <row r="70" spans="1:6" x14ac:dyDescent="0.2">
      <c r="A70" s="663"/>
      <c r="B70" s="663"/>
      <c r="C70" s="663"/>
      <c r="D70" s="663"/>
      <c r="E70" s="663"/>
      <c r="F70" s="663"/>
    </row>
    <row r="71" spans="1:6" x14ac:dyDescent="0.2">
      <c r="A71" s="660" t="s">
        <v>51</v>
      </c>
      <c r="B71" s="410" t="s">
        <v>282</v>
      </c>
      <c r="C71" s="660" t="s">
        <v>46</v>
      </c>
      <c r="D71" s="661" t="s">
        <v>47</v>
      </c>
      <c r="E71" s="660" t="s">
        <v>48</v>
      </c>
      <c r="F71" s="661" t="s">
        <v>49</v>
      </c>
    </row>
    <row r="72" spans="1:6" x14ac:dyDescent="0.2">
      <c r="A72" s="660"/>
      <c r="B72" s="394" t="s">
        <v>283</v>
      </c>
      <c r="C72" s="660"/>
      <c r="D72" s="661"/>
      <c r="E72" s="660"/>
      <c r="F72" s="661"/>
    </row>
    <row r="73" spans="1:6" x14ac:dyDescent="0.2">
      <c r="A73" s="660"/>
      <c r="B73" s="398" t="s">
        <v>281</v>
      </c>
      <c r="C73" s="397" t="s">
        <v>4</v>
      </c>
      <c r="D73" s="219">
        <v>1</v>
      </c>
      <c r="E73" s="412">
        <v>45</v>
      </c>
      <c r="F73" s="412">
        <f>PRODUCT(D73,E73)</f>
        <v>45</v>
      </c>
    </row>
    <row r="74" spans="1:6" x14ac:dyDescent="0.2">
      <c r="A74" s="662" t="s">
        <v>52</v>
      </c>
      <c r="B74" s="662"/>
      <c r="C74" s="662"/>
      <c r="D74" s="662"/>
      <c r="E74" s="662"/>
      <c r="F74" s="99">
        <f>SUM(F71:F73)</f>
        <v>45</v>
      </c>
    </row>
    <row r="75" spans="1:6" x14ac:dyDescent="0.2">
      <c r="A75" s="663"/>
      <c r="B75" s="663"/>
      <c r="C75" s="663"/>
      <c r="D75" s="663"/>
      <c r="E75" s="663"/>
      <c r="F75" s="663"/>
    </row>
    <row r="76" spans="1:6" ht="25.5" x14ac:dyDescent="0.2">
      <c r="A76" s="660" t="s">
        <v>53</v>
      </c>
      <c r="B76" s="410" t="s">
        <v>284</v>
      </c>
      <c r="C76" s="660" t="s">
        <v>46</v>
      </c>
      <c r="D76" s="661" t="s">
        <v>47</v>
      </c>
      <c r="E76" s="660" t="s">
        <v>48</v>
      </c>
      <c r="F76" s="661" t="s">
        <v>49</v>
      </c>
    </row>
    <row r="77" spans="1:6" x14ac:dyDescent="0.2">
      <c r="A77" s="660"/>
      <c r="B77" s="411" t="s">
        <v>285</v>
      </c>
      <c r="C77" s="660"/>
      <c r="D77" s="661"/>
      <c r="E77" s="660"/>
      <c r="F77" s="661"/>
    </row>
    <row r="78" spans="1:6" x14ac:dyDescent="0.2">
      <c r="A78" s="660"/>
      <c r="B78" s="398" t="s">
        <v>281</v>
      </c>
      <c r="C78" s="397" t="s">
        <v>4</v>
      </c>
      <c r="D78" s="219">
        <v>1</v>
      </c>
      <c r="E78" s="412">
        <v>45.39</v>
      </c>
      <c r="F78" s="412">
        <f>PRODUCT(D78,E78)</f>
        <v>45.39</v>
      </c>
    </row>
    <row r="79" spans="1:6" x14ac:dyDescent="0.2">
      <c r="A79" s="662" t="s">
        <v>54</v>
      </c>
      <c r="B79" s="662"/>
      <c r="C79" s="662"/>
      <c r="D79" s="662"/>
      <c r="E79" s="662"/>
      <c r="F79" s="99">
        <f>SUM(F76:F78)</f>
        <v>45.39</v>
      </c>
    </row>
    <row r="80" spans="1:6" x14ac:dyDescent="0.2">
      <c r="A80" s="663"/>
      <c r="B80" s="663"/>
      <c r="C80" s="663"/>
      <c r="D80" s="663"/>
      <c r="E80" s="663"/>
      <c r="F80" s="663"/>
    </row>
    <row r="81" spans="1:6" x14ac:dyDescent="0.2">
      <c r="A81" s="662" t="s">
        <v>55</v>
      </c>
      <c r="B81" s="664"/>
      <c r="C81" s="664"/>
      <c r="D81" s="664"/>
      <c r="E81" s="664"/>
      <c r="F81" s="240">
        <f>SUM(F69,F74,F79)/3</f>
        <v>43.129999999999995</v>
      </c>
    </row>
    <row r="82" spans="1:6" x14ac:dyDescent="0.2">
      <c r="A82" s="665"/>
      <c r="B82" s="665"/>
      <c r="C82" s="665"/>
      <c r="D82" s="665"/>
      <c r="E82" s="665"/>
      <c r="F82" s="665"/>
    </row>
    <row r="83" spans="1:6" x14ac:dyDescent="0.2">
      <c r="A83" s="674" t="s">
        <v>597</v>
      </c>
      <c r="B83" s="676"/>
      <c r="C83" s="675"/>
      <c r="D83" s="674" t="s">
        <v>853</v>
      </c>
      <c r="E83" s="675"/>
      <c r="F83" s="413" t="s">
        <v>4</v>
      </c>
    </row>
    <row r="84" spans="1:6" x14ac:dyDescent="0.2">
      <c r="A84" s="665"/>
      <c r="B84" s="665"/>
      <c r="C84" s="665"/>
      <c r="D84" s="665"/>
      <c r="E84" s="665"/>
      <c r="F84" s="665"/>
    </row>
    <row r="85" spans="1:6" x14ac:dyDescent="0.2">
      <c r="A85" s="660" t="s">
        <v>51</v>
      </c>
      <c r="B85" s="410" t="s">
        <v>598</v>
      </c>
      <c r="C85" s="660" t="s">
        <v>46</v>
      </c>
      <c r="D85" s="661" t="s">
        <v>47</v>
      </c>
      <c r="E85" s="660" t="s">
        <v>48</v>
      </c>
      <c r="F85" s="661" t="s">
        <v>49</v>
      </c>
    </row>
    <row r="86" spans="1:6" x14ac:dyDescent="0.2">
      <c r="A86" s="660"/>
      <c r="B86" s="394" t="s">
        <v>599</v>
      </c>
      <c r="C86" s="660"/>
      <c r="D86" s="661"/>
      <c r="E86" s="660"/>
      <c r="F86" s="661"/>
    </row>
    <row r="87" spans="1:6" x14ac:dyDescent="0.2">
      <c r="A87" s="660"/>
      <c r="B87" s="410" t="s">
        <v>597</v>
      </c>
      <c r="C87" s="397" t="s">
        <v>4</v>
      </c>
      <c r="D87" s="219">
        <v>1</v>
      </c>
      <c r="E87" s="412">
        <v>60.87</v>
      </c>
      <c r="F87" s="412">
        <f>PRODUCT(D87,E87)</f>
        <v>60.87</v>
      </c>
    </row>
    <row r="88" spans="1:6" x14ac:dyDescent="0.2">
      <c r="A88" s="662" t="s">
        <v>50</v>
      </c>
      <c r="B88" s="662"/>
      <c r="C88" s="662"/>
      <c r="D88" s="662"/>
      <c r="E88" s="662"/>
      <c r="F88" s="99">
        <f>SUM(F85:F87)</f>
        <v>60.87</v>
      </c>
    </row>
    <row r="89" spans="1:6" x14ac:dyDescent="0.2">
      <c r="A89" s="663"/>
      <c r="B89" s="663"/>
      <c r="C89" s="663"/>
      <c r="D89" s="663"/>
      <c r="E89" s="663"/>
      <c r="F89" s="663"/>
    </row>
    <row r="90" spans="1:6" x14ac:dyDescent="0.2">
      <c r="A90" s="660" t="s">
        <v>53</v>
      </c>
      <c r="B90" s="410" t="s">
        <v>600</v>
      </c>
      <c r="C90" s="660" t="s">
        <v>46</v>
      </c>
      <c r="D90" s="661" t="s">
        <v>47</v>
      </c>
      <c r="E90" s="660" t="s">
        <v>48</v>
      </c>
      <c r="F90" s="661" t="s">
        <v>49</v>
      </c>
    </row>
    <row r="91" spans="1:6" x14ac:dyDescent="0.2">
      <c r="A91" s="660"/>
      <c r="B91" s="411" t="s">
        <v>601</v>
      </c>
      <c r="C91" s="660"/>
      <c r="D91" s="661"/>
      <c r="E91" s="660"/>
      <c r="F91" s="661"/>
    </row>
    <row r="92" spans="1:6" x14ac:dyDescent="0.2">
      <c r="A92" s="660"/>
      <c r="B92" s="410" t="s">
        <v>597</v>
      </c>
      <c r="C92" s="397" t="s">
        <v>4</v>
      </c>
      <c r="D92" s="219">
        <v>1</v>
      </c>
      <c r="E92" s="412">
        <v>70</v>
      </c>
      <c r="F92" s="412">
        <f>PRODUCT(D92,E92)</f>
        <v>70</v>
      </c>
    </row>
    <row r="93" spans="1:6" x14ac:dyDescent="0.2">
      <c r="A93" s="662" t="s">
        <v>52</v>
      </c>
      <c r="B93" s="662"/>
      <c r="C93" s="662"/>
      <c r="D93" s="662"/>
      <c r="E93" s="662"/>
      <c r="F93" s="99">
        <f>SUM(F90:F92)</f>
        <v>70</v>
      </c>
    </row>
    <row r="94" spans="1:6" x14ac:dyDescent="0.2">
      <c r="A94" s="663"/>
      <c r="B94" s="663"/>
      <c r="C94" s="663"/>
      <c r="D94" s="663"/>
      <c r="E94" s="663"/>
      <c r="F94" s="663"/>
    </row>
    <row r="95" spans="1:6" x14ac:dyDescent="0.2">
      <c r="A95" s="660" t="s">
        <v>53</v>
      </c>
      <c r="B95" s="410" t="s">
        <v>602</v>
      </c>
      <c r="C95" s="660" t="s">
        <v>46</v>
      </c>
      <c r="D95" s="661" t="s">
        <v>47</v>
      </c>
      <c r="E95" s="660" t="s">
        <v>48</v>
      </c>
      <c r="F95" s="661" t="s">
        <v>49</v>
      </c>
    </row>
    <row r="96" spans="1:6" x14ac:dyDescent="0.2">
      <c r="A96" s="660"/>
      <c r="B96" s="411" t="s">
        <v>603</v>
      </c>
      <c r="C96" s="660"/>
      <c r="D96" s="661"/>
      <c r="E96" s="660"/>
      <c r="F96" s="661"/>
    </row>
    <row r="97" spans="1:6" x14ac:dyDescent="0.2">
      <c r="A97" s="660"/>
      <c r="B97" s="410" t="s">
        <v>597</v>
      </c>
      <c r="C97" s="397" t="s">
        <v>4</v>
      </c>
      <c r="D97" s="219">
        <v>1</v>
      </c>
      <c r="E97" s="412">
        <v>72.900000000000006</v>
      </c>
      <c r="F97" s="412">
        <f>PRODUCT(D97,E97)</f>
        <v>72.900000000000006</v>
      </c>
    </row>
    <row r="98" spans="1:6" x14ac:dyDescent="0.2">
      <c r="A98" s="662" t="s">
        <v>54</v>
      </c>
      <c r="B98" s="662"/>
      <c r="C98" s="662"/>
      <c r="D98" s="662"/>
      <c r="E98" s="662"/>
      <c r="F98" s="99">
        <f>SUM(F95:F97)</f>
        <v>72.900000000000006</v>
      </c>
    </row>
    <row r="99" spans="1:6" x14ac:dyDescent="0.2">
      <c r="A99" s="663"/>
      <c r="B99" s="663"/>
      <c r="C99" s="663"/>
      <c r="D99" s="663"/>
      <c r="E99" s="663"/>
      <c r="F99" s="663"/>
    </row>
    <row r="100" spans="1:6" x14ac:dyDescent="0.2">
      <c r="A100" s="662" t="s">
        <v>55</v>
      </c>
      <c r="B100" s="664"/>
      <c r="C100" s="664"/>
      <c r="D100" s="664"/>
      <c r="E100" s="664"/>
      <c r="F100" s="240">
        <f>SUM(F88,F93,F98)/3</f>
        <v>67.923333333333332</v>
      </c>
    </row>
  </sheetData>
  <mergeCells count="138">
    <mergeCell ref="D64:E64"/>
    <mergeCell ref="A64:C64"/>
    <mergeCell ref="D83:E83"/>
    <mergeCell ref="A83:C83"/>
    <mergeCell ref="D7:E7"/>
    <mergeCell ref="A7:C7"/>
    <mergeCell ref="A4:F4"/>
    <mergeCell ref="D26:E26"/>
    <mergeCell ref="A26:C26"/>
    <mergeCell ref="D45:E45"/>
    <mergeCell ref="A45:C45"/>
    <mergeCell ref="A79:E79"/>
    <mergeCell ref="A80:F80"/>
    <mergeCell ref="A81:E81"/>
    <mergeCell ref="A74:E74"/>
    <mergeCell ref="A75:F75"/>
    <mergeCell ref="A76:A78"/>
    <mergeCell ref="C76:C77"/>
    <mergeCell ref="D76:D77"/>
    <mergeCell ref="E76:E77"/>
    <mergeCell ref="F76:F77"/>
    <mergeCell ref="A69:E69"/>
    <mergeCell ref="A70:F70"/>
    <mergeCell ref="A71:A73"/>
    <mergeCell ref="A1:F1"/>
    <mergeCell ref="G1:H1"/>
    <mergeCell ref="A2:D2"/>
    <mergeCell ref="A3:D3"/>
    <mergeCell ref="E3:F3"/>
    <mergeCell ref="G3:H3"/>
    <mergeCell ref="G4:H4"/>
    <mergeCell ref="E2:F2"/>
    <mergeCell ref="C66:C67"/>
    <mergeCell ref="D66:D67"/>
    <mergeCell ref="A47:A49"/>
    <mergeCell ref="C47:C48"/>
    <mergeCell ref="A63:F63"/>
    <mergeCell ref="A65:F65"/>
    <mergeCell ref="D52:D53"/>
    <mergeCell ref="E52:E53"/>
    <mergeCell ref="F52:F53"/>
    <mergeCell ref="A8:F8"/>
    <mergeCell ref="A31:E31"/>
    <mergeCell ref="A32:F32"/>
    <mergeCell ref="A33:A35"/>
    <mergeCell ref="C33:C34"/>
    <mergeCell ref="D33:D34"/>
    <mergeCell ref="E33:E34"/>
    <mergeCell ref="C71:C72"/>
    <mergeCell ref="D71:D72"/>
    <mergeCell ref="E71:E72"/>
    <mergeCell ref="F71:F72"/>
    <mergeCell ref="A66:A68"/>
    <mergeCell ref="E38:E39"/>
    <mergeCell ref="F38:F39"/>
    <mergeCell ref="E66:E67"/>
    <mergeCell ref="F66:F67"/>
    <mergeCell ref="A60:E60"/>
    <mergeCell ref="A61:F61"/>
    <mergeCell ref="A62:E62"/>
    <mergeCell ref="A44:F44"/>
    <mergeCell ref="A55:E55"/>
    <mergeCell ref="A56:F56"/>
    <mergeCell ref="A57:A59"/>
    <mergeCell ref="C57:C58"/>
    <mergeCell ref="D57:D58"/>
    <mergeCell ref="E57:E58"/>
    <mergeCell ref="F57:F58"/>
    <mergeCell ref="A50:E50"/>
    <mergeCell ref="A51:F51"/>
    <mergeCell ref="A52:A54"/>
    <mergeCell ref="C52:C53"/>
    <mergeCell ref="F33:F34"/>
    <mergeCell ref="A28:A30"/>
    <mergeCell ref="C28:C29"/>
    <mergeCell ref="D28:D29"/>
    <mergeCell ref="E28:E29"/>
    <mergeCell ref="F28:F29"/>
    <mergeCell ref="A27:F27"/>
    <mergeCell ref="A25:F25"/>
    <mergeCell ref="C9:C10"/>
    <mergeCell ref="D9:D10"/>
    <mergeCell ref="E9:E10"/>
    <mergeCell ref="F9:F10"/>
    <mergeCell ref="A9:A11"/>
    <mergeCell ref="A12:E12"/>
    <mergeCell ref="A13:F13"/>
    <mergeCell ref="C14:C15"/>
    <mergeCell ref="D14:D15"/>
    <mergeCell ref="E14:E15"/>
    <mergeCell ref="F14:F15"/>
    <mergeCell ref="A14:A16"/>
    <mergeCell ref="A22:E22"/>
    <mergeCell ref="A23:F23"/>
    <mergeCell ref="A24:E24"/>
    <mergeCell ref="A17:E17"/>
    <mergeCell ref="A98:E98"/>
    <mergeCell ref="A99:F99"/>
    <mergeCell ref="A100:E100"/>
    <mergeCell ref="A82:F82"/>
    <mergeCell ref="A84:F84"/>
    <mergeCell ref="A90:A92"/>
    <mergeCell ref="C90:C91"/>
    <mergeCell ref="D90:D91"/>
    <mergeCell ref="E90:E91"/>
    <mergeCell ref="F90:F91"/>
    <mergeCell ref="A93:E93"/>
    <mergeCell ref="A94:F94"/>
    <mergeCell ref="A95:A97"/>
    <mergeCell ref="C95:C96"/>
    <mergeCell ref="D95:D96"/>
    <mergeCell ref="E95:E96"/>
    <mergeCell ref="F95:F96"/>
    <mergeCell ref="A85:A87"/>
    <mergeCell ref="C85:C86"/>
    <mergeCell ref="D85:D86"/>
    <mergeCell ref="E85:E86"/>
    <mergeCell ref="F85:F86"/>
    <mergeCell ref="A88:E88"/>
    <mergeCell ref="A89:F89"/>
    <mergeCell ref="A18:F18"/>
    <mergeCell ref="C19:C20"/>
    <mergeCell ref="D19:D20"/>
    <mergeCell ref="E19:E20"/>
    <mergeCell ref="F19:F20"/>
    <mergeCell ref="A19:A21"/>
    <mergeCell ref="D47:D48"/>
    <mergeCell ref="E47:E48"/>
    <mergeCell ref="F47:F48"/>
    <mergeCell ref="A46:F46"/>
    <mergeCell ref="A41:E41"/>
    <mergeCell ref="A42:F42"/>
    <mergeCell ref="A43:E43"/>
    <mergeCell ref="A36:E36"/>
    <mergeCell ref="A37:F37"/>
    <mergeCell ref="A38:A40"/>
    <mergeCell ref="C38:C39"/>
    <mergeCell ref="D38:D39"/>
  </mergeCells>
  <pageMargins left="0.511811024" right="0.1875" top="0.90625" bottom="0.78740157499999996" header="0.23958333333333334" footer="0.31496062000000002"/>
  <pageSetup paperSize="9" orientation="portrait" verticalDpi="0"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32169-5C34-49C5-B054-7333C99B174E}">
  <sheetPr>
    <tabColor theme="9"/>
  </sheetPr>
  <dimension ref="A1:H56"/>
  <sheetViews>
    <sheetView showGridLines="0" tabSelected="1" view="pageBreakPreview" zoomScale="115" zoomScaleNormal="115" zoomScaleSheetLayoutView="115" workbookViewId="0">
      <selection activeCell="A3" sqref="A3"/>
    </sheetView>
  </sheetViews>
  <sheetFormatPr defaultRowHeight="12.75" x14ac:dyDescent="0.2"/>
  <cols>
    <col min="1" max="1" width="11" style="697" bestFit="1" customWidth="1"/>
    <col min="2" max="2" width="40.42578125" style="697" customWidth="1"/>
    <col min="3" max="3" width="11.7109375" style="704" customWidth="1"/>
    <col min="4" max="4" width="3.140625" style="697" bestFit="1" customWidth="1"/>
    <col min="5" max="5" width="11" style="697" bestFit="1" customWidth="1"/>
    <col min="6" max="6" width="34.42578125" style="697" customWidth="1"/>
    <col min="7" max="256" width="9.140625" style="697"/>
    <col min="257" max="257" width="11" style="697" bestFit="1" customWidth="1"/>
    <col min="258" max="258" width="40.42578125" style="697" customWidth="1"/>
    <col min="259" max="259" width="11.7109375" style="697" customWidth="1"/>
    <col min="260" max="260" width="3.140625" style="697" bestFit="1" customWidth="1"/>
    <col min="261" max="261" width="11" style="697" bestFit="1" customWidth="1"/>
    <col min="262" max="262" width="34.42578125" style="697" customWidth="1"/>
    <col min="263" max="512" width="9.140625" style="697"/>
    <col min="513" max="513" width="11" style="697" bestFit="1" customWidth="1"/>
    <col min="514" max="514" width="40.42578125" style="697" customWidth="1"/>
    <col min="515" max="515" width="11.7109375" style="697" customWidth="1"/>
    <col min="516" max="516" width="3.140625" style="697" bestFit="1" customWidth="1"/>
    <col min="517" max="517" width="11" style="697" bestFit="1" customWidth="1"/>
    <col min="518" max="518" width="34.42578125" style="697" customWidth="1"/>
    <col min="519" max="768" width="9.140625" style="697"/>
    <col min="769" max="769" width="11" style="697" bestFit="1" customWidth="1"/>
    <col min="770" max="770" width="40.42578125" style="697" customWidth="1"/>
    <col min="771" max="771" width="11.7109375" style="697" customWidth="1"/>
    <col min="772" max="772" width="3.140625" style="697" bestFit="1" customWidth="1"/>
    <col min="773" max="773" width="11" style="697" bestFit="1" customWidth="1"/>
    <col min="774" max="774" width="34.42578125" style="697" customWidth="1"/>
    <col min="775" max="1024" width="9.140625" style="697"/>
    <col min="1025" max="1025" width="11" style="697" bestFit="1" customWidth="1"/>
    <col min="1026" max="1026" width="40.42578125" style="697" customWidth="1"/>
    <col min="1027" max="1027" width="11.7109375" style="697" customWidth="1"/>
    <col min="1028" max="1028" width="3.140625" style="697" bestFit="1" customWidth="1"/>
    <col min="1029" max="1029" width="11" style="697" bestFit="1" customWidth="1"/>
    <col min="1030" max="1030" width="34.42578125" style="697" customWidth="1"/>
    <col min="1031" max="1280" width="9.140625" style="697"/>
    <col min="1281" max="1281" width="11" style="697" bestFit="1" customWidth="1"/>
    <col min="1282" max="1282" width="40.42578125" style="697" customWidth="1"/>
    <col min="1283" max="1283" width="11.7109375" style="697" customWidth="1"/>
    <col min="1284" max="1284" width="3.140625" style="697" bestFit="1" customWidth="1"/>
    <col min="1285" max="1285" width="11" style="697" bestFit="1" customWidth="1"/>
    <col min="1286" max="1286" width="34.42578125" style="697" customWidth="1"/>
    <col min="1287" max="1536" width="9.140625" style="697"/>
    <col min="1537" max="1537" width="11" style="697" bestFit="1" customWidth="1"/>
    <col min="1538" max="1538" width="40.42578125" style="697" customWidth="1"/>
    <col min="1539" max="1539" width="11.7109375" style="697" customWidth="1"/>
    <col min="1540" max="1540" width="3.140625" style="697" bestFit="1" customWidth="1"/>
    <col min="1541" max="1541" width="11" style="697" bestFit="1" customWidth="1"/>
    <col min="1542" max="1542" width="34.42578125" style="697" customWidth="1"/>
    <col min="1543" max="1792" width="9.140625" style="697"/>
    <col min="1793" max="1793" width="11" style="697" bestFit="1" customWidth="1"/>
    <col min="1794" max="1794" width="40.42578125" style="697" customWidth="1"/>
    <col min="1795" max="1795" width="11.7109375" style="697" customWidth="1"/>
    <col min="1796" max="1796" width="3.140625" style="697" bestFit="1" customWidth="1"/>
    <col min="1797" max="1797" width="11" style="697" bestFit="1" customWidth="1"/>
    <col min="1798" max="1798" width="34.42578125" style="697" customWidth="1"/>
    <col min="1799" max="2048" width="9.140625" style="697"/>
    <col min="2049" max="2049" width="11" style="697" bestFit="1" customWidth="1"/>
    <col min="2050" max="2050" width="40.42578125" style="697" customWidth="1"/>
    <col min="2051" max="2051" width="11.7109375" style="697" customWidth="1"/>
    <col min="2052" max="2052" width="3.140625" style="697" bestFit="1" customWidth="1"/>
    <col min="2053" max="2053" width="11" style="697" bestFit="1" customWidth="1"/>
    <col min="2054" max="2054" width="34.42578125" style="697" customWidth="1"/>
    <col min="2055" max="2304" width="9.140625" style="697"/>
    <col min="2305" max="2305" width="11" style="697" bestFit="1" customWidth="1"/>
    <col min="2306" max="2306" width="40.42578125" style="697" customWidth="1"/>
    <col min="2307" max="2307" width="11.7109375" style="697" customWidth="1"/>
    <col min="2308" max="2308" width="3.140625" style="697" bestFit="1" customWidth="1"/>
    <col min="2309" max="2309" width="11" style="697" bestFit="1" customWidth="1"/>
    <col min="2310" max="2310" width="34.42578125" style="697" customWidth="1"/>
    <col min="2311" max="2560" width="9.140625" style="697"/>
    <col min="2561" max="2561" width="11" style="697" bestFit="1" customWidth="1"/>
    <col min="2562" max="2562" width="40.42578125" style="697" customWidth="1"/>
    <col min="2563" max="2563" width="11.7109375" style="697" customWidth="1"/>
    <col min="2564" max="2564" width="3.140625" style="697" bestFit="1" customWidth="1"/>
    <col min="2565" max="2565" width="11" style="697" bestFit="1" customWidth="1"/>
    <col min="2566" max="2566" width="34.42578125" style="697" customWidth="1"/>
    <col min="2567" max="2816" width="9.140625" style="697"/>
    <col min="2817" max="2817" width="11" style="697" bestFit="1" customWidth="1"/>
    <col min="2818" max="2818" width="40.42578125" style="697" customWidth="1"/>
    <col min="2819" max="2819" width="11.7109375" style="697" customWidth="1"/>
    <col min="2820" max="2820" width="3.140625" style="697" bestFit="1" customWidth="1"/>
    <col min="2821" max="2821" width="11" style="697" bestFit="1" customWidth="1"/>
    <col min="2822" max="2822" width="34.42578125" style="697" customWidth="1"/>
    <col min="2823" max="3072" width="9.140625" style="697"/>
    <col min="3073" max="3073" width="11" style="697" bestFit="1" customWidth="1"/>
    <col min="3074" max="3074" width="40.42578125" style="697" customWidth="1"/>
    <col min="3075" max="3075" width="11.7109375" style="697" customWidth="1"/>
    <col min="3076" max="3076" width="3.140625" style="697" bestFit="1" customWidth="1"/>
    <col min="3077" max="3077" width="11" style="697" bestFit="1" customWidth="1"/>
    <col min="3078" max="3078" width="34.42578125" style="697" customWidth="1"/>
    <col min="3079" max="3328" width="9.140625" style="697"/>
    <col min="3329" max="3329" width="11" style="697" bestFit="1" customWidth="1"/>
    <col min="3330" max="3330" width="40.42578125" style="697" customWidth="1"/>
    <col min="3331" max="3331" width="11.7109375" style="697" customWidth="1"/>
    <col min="3332" max="3332" width="3.140625" style="697" bestFit="1" customWidth="1"/>
    <col min="3333" max="3333" width="11" style="697" bestFit="1" customWidth="1"/>
    <col min="3334" max="3334" width="34.42578125" style="697" customWidth="1"/>
    <col min="3335" max="3584" width="9.140625" style="697"/>
    <col min="3585" max="3585" width="11" style="697" bestFit="1" customWidth="1"/>
    <col min="3586" max="3586" width="40.42578125" style="697" customWidth="1"/>
    <col min="3587" max="3587" width="11.7109375" style="697" customWidth="1"/>
    <col min="3588" max="3588" width="3.140625" style="697" bestFit="1" customWidth="1"/>
    <col min="3589" max="3589" width="11" style="697" bestFit="1" customWidth="1"/>
    <col min="3590" max="3590" width="34.42578125" style="697" customWidth="1"/>
    <col min="3591" max="3840" width="9.140625" style="697"/>
    <col min="3841" max="3841" width="11" style="697" bestFit="1" customWidth="1"/>
    <col min="3842" max="3842" width="40.42578125" style="697" customWidth="1"/>
    <col min="3843" max="3843" width="11.7109375" style="697" customWidth="1"/>
    <col min="3844" max="3844" width="3.140625" style="697" bestFit="1" customWidth="1"/>
    <col min="3845" max="3845" width="11" style="697" bestFit="1" customWidth="1"/>
    <col min="3846" max="3846" width="34.42578125" style="697" customWidth="1"/>
    <col min="3847" max="4096" width="9.140625" style="697"/>
    <col min="4097" max="4097" width="11" style="697" bestFit="1" customWidth="1"/>
    <col min="4098" max="4098" width="40.42578125" style="697" customWidth="1"/>
    <col min="4099" max="4099" width="11.7109375" style="697" customWidth="1"/>
    <col min="4100" max="4100" width="3.140625" style="697" bestFit="1" customWidth="1"/>
    <col min="4101" max="4101" width="11" style="697" bestFit="1" customWidth="1"/>
    <col min="4102" max="4102" width="34.42578125" style="697" customWidth="1"/>
    <col min="4103" max="4352" width="9.140625" style="697"/>
    <col min="4353" max="4353" width="11" style="697" bestFit="1" customWidth="1"/>
    <col min="4354" max="4354" width="40.42578125" style="697" customWidth="1"/>
    <col min="4355" max="4355" width="11.7109375" style="697" customWidth="1"/>
    <col min="4356" max="4356" width="3.140625" style="697" bestFit="1" customWidth="1"/>
    <col min="4357" max="4357" width="11" style="697" bestFit="1" customWidth="1"/>
    <col min="4358" max="4358" width="34.42578125" style="697" customWidth="1"/>
    <col min="4359" max="4608" width="9.140625" style="697"/>
    <col min="4609" max="4609" width="11" style="697" bestFit="1" customWidth="1"/>
    <col min="4610" max="4610" width="40.42578125" style="697" customWidth="1"/>
    <col min="4611" max="4611" width="11.7109375" style="697" customWidth="1"/>
    <col min="4612" max="4612" width="3.140625" style="697" bestFit="1" customWidth="1"/>
    <col min="4613" max="4613" width="11" style="697" bestFit="1" customWidth="1"/>
    <col min="4614" max="4614" width="34.42578125" style="697" customWidth="1"/>
    <col min="4615" max="4864" width="9.140625" style="697"/>
    <col min="4865" max="4865" width="11" style="697" bestFit="1" customWidth="1"/>
    <col min="4866" max="4866" width="40.42578125" style="697" customWidth="1"/>
    <col min="4867" max="4867" width="11.7109375" style="697" customWidth="1"/>
    <col min="4868" max="4868" width="3.140625" style="697" bestFit="1" customWidth="1"/>
    <col min="4869" max="4869" width="11" style="697" bestFit="1" customWidth="1"/>
    <col min="4870" max="4870" width="34.42578125" style="697" customWidth="1"/>
    <col min="4871" max="5120" width="9.140625" style="697"/>
    <col min="5121" max="5121" width="11" style="697" bestFit="1" customWidth="1"/>
    <col min="5122" max="5122" width="40.42578125" style="697" customWidth="1"/>
    <col min="5123" max="5123" width="11.7109375" style="697" customWidth="1"/>
    <col min="5124" max="5124" width="3.140625" style="697" bestFit="1" customWidth="1"/>
    <col min="5125" max="5125" width="11" style="697" bestFit="1" customWidth="1"/>
    <col min="5126" max="5126" width="34.42578125" style="697" customWidth="1"/>
    <col min="5127" max="5376" width="9.140625" style="697"/>
    <col min="5377" max="5377" width="11" style="697" bestFit="1" customWidth="1"/>
    <col min="5378" max="5378" width="40.42578125" style="697" customWidth="1"/>
    <col min="5379" max="5379" width="11.7109375" style="697" customWidth="1"/>
    <col min="5380" max="5380" width="3.140625" style="697" bestFit="1" customWidth="1"/>
    <col min="5381" max="5381" width="11" style="697" bestFit="1" customWidth="1"/>
    <col min="5382" max="5382" width="34.42578125" style="697" customWidth="1"/>
    <col min="5383" max="5632" width="9.140625" style="697"/>
    <col min="5633" max="5633" width="11" style="697" bestFit="1" customWidth="1"/>
    <col min="5634" max="5634" width="40.42578125" style="697" customWidth="1"/>
    <col min="5635" max="5635" width="11.7109375" style="697" customWidth="1"/>
    <col min="5636" max="5636" width="3.140625" style="697" bestFit="1" customWidth="1"/>
    <col min="5637" max="5637" width="11" style="697" bestFit="1" customWidth="1"/>
    <col min="5638" max="5638" width="34.42578125" style="697" customWidth="1"/>
    <col min="5639" max="5888" width="9.140625" style="697"/>
    <col min="5889" max="5889" width="11" style="697" bestFit="1" customWidth="1"/>
    <col min="5890" max="5890" width="40.42578125" style="697" customWidth="1"/>
    <col min="5891" max="5891" width="11.7109375" style="697" customWidth="1"/>
    <col min="5892" max="5892" width="3.140625" style="697" bestFit="1" customWidth="1"/>
    <col min="5893" max="5893" width="11" style="697" bestFit="1" customWidth="1"/>
    <col min="5894" max="5894" width="34.42578125" style="697" customWidth="1"/>
    <col min="5895" max="6144" width="9.140625" style="697"/>
    <col min="6145" max="6145" width="11" style="697" bestFit="1" customWidth="1"/>
    <col min="6146" max="6146" width="40.42578125" style="697" customWidth="1"/>
    <col min="6147" max="6147" width="11.7109375" style="697" customWidth="1"/>
    <col min="6148" max="6148" width="3.140625" style="697" bestFit="1" customWidth="1"/>
    <col min="6149" max="6149" width="11" style="697" bestFit="1" customWidth="1"/>
    <col min="6150" max="6150" width="34.42578125" style="697" customWidth="1"/>
    <col min="6151" max="6400" width="9.140625" style="697"/>
    <col min="6401" max="6401" width="11" style="697" bestFit="1" customWidth="1"/>
    <col min="6402" max="6402" width="40.42578125" style="697" customWidth="1"/>
    <col min="6403" max="6403" width="11.7109375" style="697" customWidth="1"/>
    <col min="6404" max="6404" width="3.140625" style="697" bestFit="1" customWidth="1"/>
    <col min="6405" max="6405" width="11" style="697" bestFit="1" customWidth="1"/>
    <col min="6406" max="6406" width="34.42578125" style="697" customWidth="1"/>
    <col min="6407" max="6656" width="9.140625" style="697"/>
    <col min="6657" max="6657" width="11" style="697" bestFit="1" customWidth="1"/>
    <col min="6658" max="6658" width="40.42578125" style="697" customWidth="1"/>
    <col min="6659" max="6659" width="11.7109375" style="697" customWidth="1"/>
    <col min="6660" max="6660" width="3.140625" style="697" bestFit="1" customWidth="1"/>
    <col min="6661" max="6661" width="11" style="697" bestFit="1" customWidth="1"/>
    <col min="6662" max="6662" width="34.42578125" style="697" customWidth="1"/>
    <col min="6663" max="6912" width="9.140625" style="697"/>
    <col min="6913" max="6913" width="11" style="697" bestFit="1" customWidth="1"/>
    <col min="6914" max="6914" width="40.42578125" style="697" customWidth="1"/>
    <col min="6915" max="6915" width="11.7109375" style="697" customWidth="1"/>
    <col min="6916" max="6916" width="3.140625" style="697" bestFit="1" customWidth="1"/>
    <col min="6917" max="6917" width="11" style="697" bestFit="1" customWidth="1"/>
    <col min="6918" max="6918" width="34.42578125" style="697" customWidth="1"/>
    <col min="6919" max="7168" width="9.140625" style="697"/>
    <col min="7169" max="7169" width="11" style="697" bestFit="1" customWidth="1"/>
    <col min="7170" max="7170" width="40.42578125" style="697" customWidth="1"/>
    <col min="7171" max="7171" width="11.7109375" style="697" customWidth="1"/>
    <col min="7172" max="7172" width="3.140625" style="697" bestFit="1" customWidth="1"/>
    <col min="7173" max="7173" width="11" style="697" bestFit="1" customWidth="1"/>
    <col min="7174" max="7174" width="34.42578125" style="697" customWidth="1"/>
    <col min="7175" max="7424" width="9.140625" style="697"/>
    <col min="7425" max="7425" width="11" style="697" bestFit="1" customWidth="1"/>
    <col min="7426" max="7426" width="40.42578125" style="697" customWidth="1"/>
    <col min="7427" max="7427" width="11.7109375" style="697" customWidth="1"/>
    <col min="7428" max="7428" width="3.140625" style="697" bestFit="1" customWidth="1"/>
    <col min="7429" max="7429" width="11" style="697" bestFit="1" customWidth="1"/>
    <col min="7430" max="7430" width="34.42578125" style="697" customWidth="1"/>
    <col min="7431" max="7680" width="9.140625" style="697"/>
    <col min="7681" max="7681" width="11" style="697" bestFit="1" customWidth="1"/>
    <col min="7682" max="7682" width="40.42578125" style="697" customWidth="1"/>
    <col min="7683" max="7683" width="11.7109375" style="697" customWidth="1"/>
    <col min="7684" max="7684" width="3.140625" style="697" bestFit="1" customWidth="1"/>
    <col min="7685" max="7685" width="11" style="697" bestFit="1" customWidth="1"/>
    <col min="7686" max="7686" width="34.42578125" style="697" customWidth="1"/>
    <col min="7687" max="7936" width="9.140625" style="697"/>
    <col min="7937" max="7937" width="11" style="697" bestFit="1" customWidth="1"/>
    <col min="7938" max="7938" width="40.42578125" style="697" customWidth="1"/>
    <col min="7939" max="7939" width="11.7109375" style="697" customWidth="1"/>
    <col min="7940" max="7940" width="3.140625" style="697" bestFit="1" customWidth="1"/>
    <col min="7941" max="7941" width="11" style="697" bestFit="1" customWidth="1"/>
    <col min="7942" max="7942" width="34.42578125" style="697" customWidth="1"/>
    <col min="7943" max="8192" width="9.140625" style="697"/>
    <col min="8193" max="8193" width="11" style="697" bestFit="1" customWidth="1"/>
    <col min="8194" max="8194" width="40.42578125" style="697" customWidth="1"/>
    <col min="8195" max="8195" width="11.7109375" style="697" customWidth="1"/>
    <col min="8196" max="8196" width="3.140625" style="697" bestFit="1" customWidth="1"/>
    <col min="8197" max="8197" width="11" style="697" bestFit="1" customWidth="1"/>
    <col min="8198" max="8198" width="34.42578125" style="697" customWidth="1"/>
    <col min="8199" max="8448" width="9.140625" style="697"/>
    <col min="8449" max="8449" width="11" style="697" bestFit="1" customWidth="1"/>
    <col min="8450" max="8450" width="40.42578125" style="697" customWidth="1"/>
    <col min="8451" max="8451" width="11.7109375" style="697" customWidth="1"/>
    <col min="8452" max="8452" width="3.140625" style="697" bestFit="1" customWidth="1"/>
    <col min="8453" max="8453" width="11" style="697" bestFit="1" customWidth="1"/>
    <col min="8454" max="8454" width="34.42578125" style="697" customWidth="1"/>
    <col min="8455" max="8704" width="9.140625" style="697"/>
    <col min="8705" max="8705" width="11" style="697" bestFit="1" customWidth="1"/>
    <col min="8706" max="8706" width="40.42578125" style="697" customWidth="1"/>
    <col min="8707" max="8707" width="11.7109375" style="697" customWidth="1"/>
    <col min="8708" max="8708" width="3.140625" style="697" bestFit="1" customWidth="1"/>
    <col min="8709" max="8709" width="11" style="697" bestFit="1" customWidth="1"/>
    <col min="8710" max="8710" width="34.42578125" style="697" customWidth="1"/>
    <col min="8711" max="8960" width="9.140625" style="697"/>
    <col min="8961" max="8961" width="11" style="697" bestFit="1" customWidth="1"/>
    <col min="8962" max="8962" width="40.42578125" style="697" customWidth="1"/>
    <col min="8963" max="8963" width="11.7109375" style="697" customWidth="1"/>
    <col min="8964" max="8964" width="3.140625" style="697" bestFit="1" customWidth="1"/>
    <col min="8965" max="8965" width="11" style="697" bestFit="1" customWidth="1"/>
    <col min="8966" max="8966" width="34.42578125" style="697" customWidth="1"/>
    <col min="8967" max="9216" width="9.140625" style="697"/>
    <col min="9217" max="9217" width="11" style="697" bestFit="1" customWidth="1"/>
    <col min="9218" max="9218" width="40.42578125" style="697" customWidth="1"/>
    <col min="9219" max="9219" width="11.7109375" style="697" customWidth="1"/>
    <col min="9220" max="9220" width="3.140625" style="697" bestFit="1" customWidth="1"/>
    <col min="9221" max="9221" width="11" style="697" bestFit="1" customWidth="1"/>
    <col min="9222" max="9222" width="34.42578125" style="697" customWidth="1"/>
    <col min="9223" max="9472" width="9.140625" style="697"/>
    <col min="9473" max="9473" width="11" style="697" bestFit="1" customWidth="1"/>
    <col min="9474" max="9474" width="40.42578125" style="697" customWidth="1"/>
    <col min="9475" max="9475" width="11.7109375" style="697" customWidth="1"/>
    <col min="9476" max="9476" width="3.140625" style="697" bestFit="1" customWidth="1"/>
    <col min="9477" max="9477" width="11" style="697" bestFit="1" customWidth="1"/>
    <col min="9478" max="9478" width="34.42578125" style="697" customWidth="1"/>
    <col min="9479" max="9728" width="9.140625" style="697"/>
    <col min="9729" max="9729" width="11" style="697" bestFit="1" customWidth="1"/>
    <col min="9730" max="9730" width="40.42578125" style="697" customWidth="1"/>
    <col min="9731" max="9731" width="11.7109375" style="697" customWidth="1"/>
    <col min="9732" max="9732" width="3.140625" style="697" bestFit="1" customWidth="1"/>
    <col min="9733" max="9733" width="11" style="697" bestFit="1" customWidth="1"/>
    <col min="9734" max="9734" width="34.42578125" style="697" customWidth="1"/>
    <col min="9735" max="9984" width="9.140625" style="697"/>
    <col min="9985" max="9985" width="11" style="697" bestFit="1" customWidth="1"/>
    <col min="9986" max="9986" width="40.42578125" style="697" customWidth="1"/>
    <col min="9987" max="9987" width="11.7109375" style="697" customWidth="1"/>
    <col min="9988" max="9988" width="3.140625" style="697" bestFit="1" customWidth="1"/>
    <col min="9989" max="9989" width="11" style="697" bestFit="1" customWidth="1"/>
    <col min="9990" max="9990" width="34.42578125" style="697" customWidth="1"/>
    <col min="9991" max="10240" width="9.140625" style="697"/>
    <col min="10241" max="10241" width="11" style="697" bestFit="1" customWidth="1"/>
    <col min="10242" max="10242" width="40.42578125" style="697" customWidth="1"/>
    <col min="10243" max="10243" width="11.7109375" style="697" customWidth="1"/>
    <col min="10244" max="10244" width="3.140625" style="697" bestFit="1" customWidth="1"/>
    <col min="10245" max="10245" width="11" style="697" bestFit="1" customWidth="1"/>
    <col min="10246" max="10246" width="34.42578125" style="697" customWidth="1"/>
    <col min="10247" max="10496" width="9.140625" style="697"/>
    <col min="10497" max="10497" width="11" style="697" bestFit="1" customWidth="1"/>
    <col min="10498" max="10498" width="40.42578125" style="697" customWidth="1"/>
    <col min="10499" max="10499" width="11.7109375" style="697" customWidth="1"/>
    <col min="10500" max="10500" width="3.140625" style="697" bestFit="1" customWidth="1"/>
    <col min="10501" max="10501" width="11" style="697" bestFit="1" customWidth="1"/>
    <col min="10502" max="10502" width="34.42578125" style="697" customWidth="1"/>
    <col min="10503" max="10752" width="9.140625" style="697"/>
    <col min="10753" max="10753" width="11" style="697" bestFit="1" customWidth="1"/>
    <col min="10754" max="10754" width="40.42578125" style="697" customWidth="1"/>
    <col min="10755" max="10755" width="11.7109375" style="697" customWidth="1"/>
    <col min="10756" max="10756" width="3.140625" style="697" bestFit="1" customWidth="1"/>
    <col min="10757" max="10757" width="11" style="697" bestFit="1" customWidth="1"/>
    <col min="10758" max="10758" width="34.42578125" style="697" customWidth="1"/>
    <col min="10759" max="11008" width="9.140625" style="697"/>
    <col min="11009" max="11009" width="11" style="697" bestFit="1" customWidth="1"/>
    <col min="11010" max="11010" width="40.42578125" style="697" customWidth="1"/>
    <col min="11011" max="11011" width="11.7109375" style="697" customWidth="1"/>
    <col min="11012" max="11012" width="3.140625" style="697" bestFit="1" customWidth="1"/>
    <col min="11013" max="11013" width="11" style="697" bestFit="1" customWidth="1"/>
    <col min="11014" max="11014" width="34.42578125" style="697" customWidth="1"/>
    <col min="11015" max="11264" width="9.140625" style="697"/>
    <col min="11265" max="11265" width="11" style="697" bestFit="1" customWidth="1"/>
    <col min="11266" max="11266" width="40.42578125" style="697" customWidth="1"/>
    <col min="11267" max="11267" width="11.7109375" style="697" customWidth="1"/>
    <col min="11268" max="11268" width="3.140625" style="697" bestFit="1" customWidth="1"/>
    <col min="11269" max="11269" width="11" style="697" bestFit="1" customWidth="1"/>
    <col min="11270" max="11270" width="34.42578125" style="697" customWidth="1"/>
    <col min="11271" max="11520" width="9.140625" style="697"/>
    <col min="11521" max="11521" width="11" style="697" bestFit="1" customWidth="1"/>
    <col min="11522" max="11522" width="40.42578125" style="697" customWidth="1"/>
    <col min="11523" max="11523" width="11.7109375" style="697" customWidth="1"/>
    <col min="11524" max="11524" width="3.140625" style="697" bestFit="1" customWidth="1"/>
    <col min="11525" max="11525" width="11" style="697" bestFit="1" customWidth="1"/>
    <col min="11526" max="11526" width="34.42578125" style="697" customWidth="1"/>
    <col min="11527" max="11776" width="9.140625" style="697"/>
    <col min="11777" max="11777" width="11" style="697" bestFit="1" customWidth="1"/>
    <col min="11778" max="11778" width="40.42578125" style="697" customWidth="1"/>
    <col min="11779" max="11779" width="11.7109375" style="697" customWidth="1"/>
    <col min="11780" max="11780" width="3.140625" style="697" bestFit="1" customWidth="1"/>
    <col min="11781" max="11781" width="11" style="697" bestFit="1" customWidth="1"/>
    <col min="11782" max="11782" width="34.42578125" style="697" customWidth="1"/>
    <col min="11783" max="12032" width="9.140625" style="697"/>
    <col min="12033" max="12033" width="11" style="697" bestFit="1" customWidth="1"/>
    <col min="12034" max="12034" width="40.42578125" style="697" customWidth="1"/>
    <col min="12035" max="12035" width="11.7109375" style="697" customWidth="1"/>
    <col min="12036" max="12036" width="3.140625" style="697" bestFit="1" customWidth="1"/>
    <col min="12037" max="12037" width="11" style="697" bestFit="1" customWidth="1"/>
    <col min="12038" max="12038" width="34.42578125" style="697" customWidth="1"/>
    <col min="12039" max="12288" width="9.140625" style="697"/>
    <col min="12289" max="12289" width="11" style="697" bestFit="1" customWidth="1"/>
    <col min="12290" max="12290" width="40.42578125" style="697" customWidth="1"/>
    <col min="12291" max="12291" width="11.7109375" style="697" customWidth="1"/>
    <col min="12292" max="12292" width="3.140625" style="697" bestFit="1" customWidth="1"/>
    <col min="12293" max="12293" width="11" style="697" bestFit="1" customWidth="1"/>
    <col min="12294" max="12294" width="34.42578125" style="697" customWidth="1"/>
    <col min="12295" max="12544" width="9.140625" style="697"/>
    <col min="12545" max="12545" width="11" style="697" bestFit="1" customWidth="1"/>
    <col min="12546" max="12546" width="40.42578125" style="697" customWidth="1"/>
    <col min="12547" max="12547" width="11.7109375" style="697" customWidth="1"/>
    <col min="12548" max="12548" width="3.140625" style="697" bestFit="1" customWidth="1"/>
    <col min="12549" max="12549" width="11" style="697" bestFit="1" customWidth="1"/>
    <col min="12550" max="12550" width="34.42578125" style="697" customWidth="1"/>
    <col min="12551" max="12800" width="9.140625" style="697"/>
    <col min="12801" max="12801" width="11" style="697" bestFit="1" customWidth="1"/>
    <col min="12802" max="12802" width="40.42578125" style="697" customWidth="1"/>
    <col min="12803" max="12803" width="11.7109375" style="697" customWidth="1"/>
    <col min="12804" max="12804" width="3.140625" style="697" bestFit="1" customWidth="1"/>
    <col min="12805" max="12805" width="11" style="697" bestFit="1" customWidth="1"/>
    <col min="12806" max="12806" width="34.42578125" style="697" customWidth="1"/>
    <col min="12807" max="13056" width="9.140625" style="697"/>
    <col min="13057" max="13057" width="11" style="697" bestFit="1" customWidth="1"/>
    <col min="13058" max="13058" width="40.42578125" style="697" customWidth="1"/>
    <col min="13059" max="13059" width="11.7109375" style="697" customWidth="1"/>
    <col min="13060" max="13060" width="3.140625" style="697" bestFit="1" customWidth="1"/>
    <col min="13061" max="13061" width="11" style="697" bestFit="1" customWidth="1"/>
    <col min="13062" max="13062" width="34.42578125" style="697" customWidth="1"/>
    <col min="13063" max="13312" width="9.140625" style="697"/>
    <col min="13313" max="13313" width="11" style="697" bestFit="1" customWidth="1"/>
    <col min="13314" max="13314" width="40.42578125" style="697" customWidth="1"/>
    <col min="13315" max="13315" width="11.7109375" style="697" customWidth="1"/>
    <col min="13316" max="13316" width="3.140625" style="697" bestFit="1" customWidth="1"/>
    <col min="13317" max="13317" width="11" style="697" bestFit="1" customWidth="1"/>
    <col min="13318" max="13318" width="34.42578125" style="697" customWidth="1"/>
    <col min="13319" max="13568" width="9.140625" style="697"/>
    <col min="13569" max="13569" width="11" style="697" bestFit="1" customWidth="1"/>
    <col min="13570" max="13570" width="40.42578125" style="697" customWidth="1"/>
    <col min="13571" max="13571" width="11.7109375" style="697" customWidth="1"/>
    <col min="13572" max="13572" width="3.140625" style="697" bestFit="1" customWidth="1"/>
    <col min="13573" max="13573" width="11" style="697" bestFit="1" customWidth="1"/>
    <col min="13574" max="13574" width="34.42578125" style="697" customWidth="1"/>
    <col min="13575" max="13824" width="9.140625" style="697"/>
    <col min="13825" max="13825" width="11" style="697" bestFit="1" customWidth="1"/>
    <col min="13826" max="13826" width="40.42578125" style="697" customWidth="1"/>
    <col min="13827" max="13827" width="11.7109375" style="697" customWidth="1"/>
    <col min="13828" max="13828" width="3.140625" style="697" bestFit="1" customWidth="1"/>
    <col min="13829" max="13829" width="11" style="697" bestFit="1" customWidth="1"/>
    <col min="13830" max="13830" width="34.42578125" style="697" customWidth="1"/>
    <col min="13831" max="14080" width="9.140625" style="697"/>
    <col min="14081" max="14081" width="11" style="697" bestFit="1" customWidth="1"/>
    <col min="14082" max="14082" width="40.42578125" style="697" customWidth="1"/>
    <col min="14083" max="14083" width="11.7109375" style="697" customWidth="1"/>
    <col min="14084" max="14084" width="3.140625" style="697" bestFit="1" customWidth="1"/>
    <col min="14085" max="14085" width="11" style="697" bestFit="1" customWidth="1"/>
    <col min="14086" max="14086" width="34.42578125" style="697" customWidth="1"/>
    <col min="14087" max="14336" width="9.140625" style="697"/>
    <col min="14337" max="14337" width="11" style="697" bestFit="1" customWidth="1"/>
    <col min="14338" max="14338" width="40.42578125" style="697" customWidth="1"/>
    <col min="14339" max="14339" width="11.7109375" style="697" customWidth="1"/>
    <col min="14340" max="14340" width="3.140625" style="697" bestFit="1" customWidth="1"/>
    <col min="14341" max="14341" width="11" style="697" bestFit="1" customWidth="1"/>
    <col min="14342" max="14342" width="34.42578125" style="697" customWidth="1"/>
    <col min="14343" max="14592" width="9.140625" style="697"/>
    <col min="14593" max="14593" width="11" style="697" bestFit="1" customWidth="1"/>
    <col min="14594" max="14594" width="40.42578125" style="697" customWidth="1"/>
    <col min="14595" max="14595" width="11.7109375" style="697" customWidth="1"/>
    <col min="14596" max="14596" width="3.140625" style="697" bestFit="1" customWidth="1"/>
    <col min="14597" max="14597" width="11" style="697" bestFit="1" customWidth="1"/>
    <col min="14598" max="14598" width="34.42578125" style="697" customWidth="1"/>
    <col min="14599" max="14848" width="9.140625" style="697"/>
    <col min="14849" max="14849" width="11" style="697" bestFit="1" customWidth="1"/>
    <col min="14850" max="14850" width="40.42578125" style="697" customWidth="1"/>
    <col min="14851" max="14851" width="11.7109375" style="697" customWidth="1"/>
    <col min="14852" max="14852" width="3.140625" style="697" bestFit="1" customWidth="1"/>
    <col min="14853" max="14853" width="11" style="697" bestFit="1" customWidth="1"/>
    <col min="14854" max="14854" width="34.42578125" style="697" customWidth="1"/>
    <col min="14855" max="15104" width="9.140625" style="697"/>
    <col min="15105" max="15105" width="11" style="697" bestFit="1" customWidth="1"/>
    <col min="15106" max="15106" width="40.42578125" style="697" customWidth="1"/>
    <col min="15107" max="15107" width="11.7109375" style="697" customWidth="1"/>
    <col min="15108" max="15108" width="3.140625" style="697" bestFit="1" customWidth="1"/>
    <col min="15109" max="15109" width="11" style="697" bestFit="1" customWidth="1"/>
    <col min="15110" max="15110" width="34.42578125" style="697" customWidth="1"/>
    <col min="15111" max="15360" width="9.140625" style="697"/>
    <col min="15361" max="15361" width="11" style="697" bestFit="1" customWidth="1"/>
    <col min="15362" max="15362" width="40.42578125" style="697" customWidth="1"/>
    <col min="15363" max="15363" width="11.7109375" style="697" customWidth="1"/>
    <col min="15364" max="15364" width="3.140625" style="697" bestFit="1" customWidth="1"/>
    <col min="15365" max="15365" width="11" style="697" bestFit="1" customWidth="1"/>
    <col min="15366" max="15366" width="34.42578125" style="697" customWidth="1"/>
    <col min="15367" max="15616" width="9.140625" style="697"/>
    <col min="15617" max="15617" width="11" style="697" bestFit="1" customWidth="1"/>
    <col min="15618" max="15618" width="40.42578125" style="697" customWidth="1"/>
    <col min="15619" max="15619" width="11.7109375" style="697" customWidth="1"/>
    <col min="15620" max="15620" width="3.140625" style="697" bestFit="1" customWidth="1"/>
    <col min="15621" max="15621" width="11" style="697" bestFit="1" customWidth="1"/>
    <col min="15622" max="15622" width="34.42578125" style="697" customWidth="1"/>
    <col min="15623" max="15872" width="9.140625" style="697"/>
    <col min="15873" max="15873" width="11" style="697" bestFit="1" customWidth="1"/>
    <col min="15874" max="15874" width="40.42578125" style="697" customWidth="1"/>
    <col min="15875" max="15875" width="11.7109375" style="697" customWidth="1"/>
    <col min="15876" max="15876" width="3.140625" style="697" bestFit="1" customWidth="1"/>
    <col min="15877" max="15877" width="11" style="697" bestFit="1" customWidth="1"/>
    <col min="15878" max="15878" width="34.42578125" style="697" customWidth="1"/>
    <col min="15879" max="16128" width="9.140625" style="697"/>
    <col min="16129" max="16129" width="11" style="697" bestFit="1" customWidth="1"/>
    <col min="16130" max="16130" width="40.42578125" style="697" customWidth="1"/>
    <col min="16131" max="16131" width="11.7109375" style="697" customWidth="1"/>
    <col min="16132" max="16132" width="3.140625" style="697" bestFit="1" customWidth="1"/>
    <col min="16133" max="16133" width="11" style="697" bestFit="1" customWidth="1"/>
    <col min="16134" max="16134" width="34.42578125" style="697" customWidth="1"/>
    <col min="16135" max="16384" width="9.140625" style="697"/>
  </cols>
  <sheetData>
    <row r="1" spans="1:8" s="684" customFormat="1" ht="15.75" x14ac:dyDescent="0.25">
      <c r="A1" s="733" t="s">
        <v>877</v>
      </c>
      <c r="B1" s="733"/>
      <c r="C1" s="733"/>
      <c r="D1" s="733"/>
      <c r="E1" s="683"/>
      <c r="F1" s="683"/>
      <c r="H1" s="685"/>
    </row>
    <row r="2" spans="1:8" s="687" customFormat="1" x14ac:dyDescent="0.2">
      <c r="A2" s="686"/>
      <c r="B2" s="686"/>
      <c r="C2" s="686"/>
      <c r="D2" s="686"/>
      <c r="E2" s="686"/>
      <c r="F2" s="686"/>
      <c r="H2" s="688"/>
    </row>
    <row r="3" spans="1:8" s="691" customFormat="1" x14ac:dyDescent="0.2">
      <c r="A3" s="689" t="s">
        <v>878</v>
      </c>
      <c r="B3" s="690" t="s">
        <v>820</v>
      </c>
      <c r="C3" s="690"/>
      <c r="D3" s="690"/>
      <c r="E3" s="686"/>
    </row>
    <row r="4" spans="1:8" s="691" customFormat="1" x14ac:dyDescent="0.2">
      <c r="A4" s="689" t="s">
        <v>879</v>
      </c>
      <c r="B4" s="690" t="s">
        <v>912</v>
      </c>
      <c r="C4" s="690"/>
      <c r="D4" s="690"/>
      <c r="E4" s="686"/>
    </row>
    <row r="5" spans="1:8" s="691" customFormat="1" x14ac:dyDescent="0.2">
      <c r="A5" s="692"/>
      <c r="B5" s="693"/>
      <c r="C5" s="694"/>
      <c r="D5" s="695"/>
      <c r="E5" s="686"/>
    </row>
    <row r="6" spans="1:8" x14ac:dyDescent="0.2">
      <c r="A6" s="696" t="s">
        <v>880</v>
      </c>
      <c r="B6" s="696"/>
      <c r="C6" s="696"/>
      <c r="D6" s="696"/>
    </row>
    <row r="7" spans="1:8" s="698" customFormat="1" ht="8.1" customHeight="1" x14ac:dyDescent="0.2">
      <c r="B7" s="699"/>
      <c r="C7" s="700"/>
      <c r="D7" s="701"/>
    </row>
    <row r="8" spans="1:8" x14ac:dyDescent="0.2">
      <c r="B8" s="702" t="s">
        <v>881</v>
      </c>
      <c r="C8" s="700"/>
      <c r="D8" s="701"/>
    </row>
    <row r="9" spans="1:8" ht="8.1" customHeight="1" x14ac:dyDescent="0.2">
      <c r="C9" s="700"/>
      <c r="D9" s="701"/>
    </row>
    <row r="10" spans="1:8" x14ac:dyDescent="0.2">
      <c r="A10" s="696" t="s">
        <v>882</v>
      </c>
      <c r="B10" s="696"/>
      <c r="C10" s="696"/>
      <c r="D10" s="696"/>
    </row>
    <row r="11" spans="1:8" s="698" customFormat="1" ht="6" x14ac:dyDescent="0.15">
      <c r="C11" s="703"/>
      <c r="D11" s="699"/>
    </row>
    <row r="12" spans="1:8" x14ac:dyDescent="0.2">
      <c r="B12" s="702" t="s">
        <v>883</v>
      </c>
      <c r="C12" s="703"/>
      <c r="D12" s="699"/>
    </row>
    <row r="13" spans="1:8" ht="8.1" customHeight="1" x14ac:dyDescent="0.2">
      <c r="B13" s="704"/>
      <c r="D13" s="704"/>
      <c r="E13" s="704"/>
      <c r="F13" s="704"/>
    </row>
    <row r="14" spans="1:8" x14ac:dyDescent="0.2">
      <c r="A14" s="696" t="s">
        <v>884</v>
      </c>
      <c r="B14" s="696"/>
      <c r="C14" s="696"/>
      <c r="D14" s="696"/>
    </row>
    <row r="15" spans="1:8" s="698" customFormat="1" ht="6" x14ac:dyDescent="0.15">
      <c r="C15" s="703"/>
      <c r="D15" s="703"/>
    </row>
    <row r="16" spans="1:8" x14ac:dyDescent="0.2">
      <c r="A16" s="705"/>
      <c r="B16" s="706" t="s">
        <v>885</v>
      </c>
      <c r="C16" s="707">
        <v>4</v>
      </c>
      <c r="D16" s="708" t="s">
        <v>32</v>
      </c>
      <c r="F16" s="709"/>
    </row>
    <row r="17" spans="1:6" x14ac:dyDescent="0.2">
      <c r="A17" s="705"/>
      <c r="B17" s="706" t="s">
        <v>886</v>
      </c>
      <c r="C17" s="707">
        <v>0.4</v>
      </c>
      <c r="D17" s="708" t="s">
        <v>32</v>
      </c>
      <c r="F17" s="709"/>
    </row>
    <row r="18" spans="1:6" x14ac:dyDescent="0.2">
      <c r="A18" s="705"/>
      <c r="B18" s="706" t="s">
        <v>887</v>
      </c>
      <c r="C18" s="707">
        <v>0.42</v>
      </c>
      <c r="D18" s="708" t="s">
        <v>32</v>
      </c>
      <c r="F18" s="709"/>
    </row>
    <row r="19" spans="1:6" x14ac:dyDescent="0.2">
      <c r="A19" s="705"/>
      <c r="B19" s="706" t="s">
        <v>888</v>
      </c>
      <c r="C19" s="707">
        <v>0.63</v>
      </c>
      <c r="D19" s="708" t="s">
        <v>32</v>
      </c>
      <c r="F19" s="709"/>
    </row>
    <row r="20" spans="1:6" ht="8.1" customHeight="1" x14ac:dyDescent="0.2">
      <c r="B20" s="710"/>
      <c r="C20" s="711"/>
      <c r="D20" s="712"/>
      <c r="F20" s="709"/>
    </row>
    <row r="21" spans="1:6" x14ac:dyDescent="0.2">
      <c r="A21" s="705"/>
      <c r="B21" s="706" t="s">
        <v>889</v>
      </c>
      <c r="C21" s="707">
        <v>4</v>
      </c>
      <c r="D21" s="708" t="s">
        <v>32</v>
      </c>
      <c r="F21" s="709"/>
    </row>
    <row r="22" spans="1:6" ht="8.1" customHeight="1" x14ac:dyDescent="0.2">
      <c r="D22" s="704"/>
    </row>
    <row r="23" spans="1:6" ht="12.75" customHeight="1" x14ac:dyDescent="0.2">
      <c r="A23" s="696" t="s">
        <v>890</v>
      </c>
      <c r="B23" s="696"/>
      <c r="C23" s="696"/>
      <c r="D23" s="696"/>
    </row>
    <row r="24" spans="1:6" ht="8.1" customHeight="1" x14ac:dyDescent="0.2">
      <c r="A24" s="701"/>
      <c r="B24" s="701"/>
      <c r="C24" s="701"/>
      <c r="D24" s="701"/>
    </row>
    <row r="25" spans="1:6" ht="12.75" customHeight="1" x14ac:dyDescent="0.2">
      <c r="A25" s="701"/>
      <c r="B25" s="713" t="s">
        <v>891</v>
      </c>
      <c r="C25" s="714">
        <f>C28+C30+C31+C32</f>
        <v>13.15</v>
      </c>
      <c r="D25" s="715" t="s">
        <v>32</v>
      </c>
    </row>
    <row r="26" spans="1:6" ht="12.75" customHeight="1" x14ac:dyDescent="0.2">
      <c r="A26" s="701"/>
      <c r="B26" s="701"/>
      <c r="C26" s="701"/>
      <c r="D26" s="701"/>
    </row>
    <row r="27" spans="1:6" ht="13.5" customHeight="1" x14ac:dyDescent="0.2">
      <c r="A27" s="701"/>
      <c r="B27" s="716" t="s">
        <v>892</v>
      </c>
      <c r="C27" s="707">
        <v>100</v>
      </c>
      <c r="D27" s="715" t="s">
        <v>32</v>
      </c>
    </row>
    <row r="28" spans="1:6" ht="12.75" customHeight="1" x14ac:dyDescent="0.2">
      <c r="A28" s="701"/>
      <c r="B28" s="716" t="s">
        <v>893</v>
      </c>
      <c r="C28" s="707">
        <v>5</v>
      </c>
      <c r="D28" s="715" t="s">
        <v>32</v>
      </c>
    </row>
    <row r="29" spans="1:6" s="698" customFormat="1" ht="8.1" customHeight="1" x14ac:dyDescent="0.15">
      <c r="C29" s="703"/>
      <c r="D29" s="703"/>
    </row>
    <row r="30" spans="1:6" x14ac:dyDescent="0.2">
      <c r="B30" s="716" t="s">
        <v>894</v>
      </c>
      <c r="C30" s="717">
        <v>3</v>
      </c>
      <c r="D30" s="718" t="s">
        <v>32</v>
      </c>
      <c r="F30" s="709"/>
    </row>
    <row r="31" spans="1:6" ht="12.75" customHeight="1" x14ac:dyDescent="0.2">
      <c r="B31" s="716" t="s">
        <v>895</v>
      </c>
      <c r="C31" s="717">
        <v>0.65</v>
      </c>
      <c r="D31" s="718" t="s">
        <v>32</v>
      </c>
    </row>
    <row r="32" spans="1:6" ht="12.75" customHeight="1" x14ac:dyDescent="0.2">
      <c r="B32" s="716" t="s">
        <v>896</v>
      </c>
      <c r="C32" s="717">
        <f>IF(B8="Com Desoneração",4.5,0)</f>
        <v>4.5</v>
      </c>
      <c r="D32" s="708" t="s">
        <v>32</v>
      </c>
    </row>
    <row r="33" spans="1:6" ht="8.1" customHeight="1" x14ac:dyDescent="0.2">
      <c r="D33" s="704"/>
    </row>
    <row r="34" spans="1:6" x14ac:dyDescent="0.2">
      <c r="A34" s="696" t="s">
        <v>897</v>
      </c>
      <c r="B34" s="696"/>
      <c r="C34" s="696"/>
      <c r="D34" s="696"/>
    </row>
    <row r="35" spans="1:6" s="698" customFormat="1" ht="6" x14ac:dyDescent="0.15">
      <c r="C35" s="703"/>
      <c r="D35" s="699"/>
    </row>
    <row r="36" spans="1:6" ht="12.75" customHeight="1" x14ac:dyDescent="0.2">
      <c r="B36" s="704" t="s">
        <v>898</v>
      </c>
      <c r="C36" s="719">
        <f>ROUND((((1+($C$16/100)+($C$18/100)+($C$17/100))*(1+($C$19/100))*(1+($C$21/100)))/(1-$C$25/100)-1),4)</f>
        <v>0.2631</v>
      </c>
      <c r="D36" s="720"/>
      <c r="E36" s="721" t="str">
        <f>[1]Auxiliar!A17</f>
        <v>Atende</v>
      </c>
      <c r="F36" s="722"/>
    </row>
    <row r="37" spans="1:6" ht="12.75" customHeight="1" x14ac:dyDescent="0.2">
      <c r="B37" s="704" t="s">
        <v>899</v>
      </c>
      <c r="C37" s="723"/>
      <c r="D37" s="724"/>
      <c r="F37" s="725"/>
    </row>
    <row r="38" spans="1:6" x14ac:dyDescent="0.2">
      <c r="C38" s="726"/>
    </row>
    <row r="39" spans="1:6" x14ac:dyDescent="0.2">
      <c r="A39" s="727" t="s">
        <v>900</v>
      </c>
    </row>
    <row r="40" spans="1:6" x14ac:dyDescent="0.2">
      <c r="A40" s="727" t="str">
        <f>CONCATENATE("do ISS para ", B12," é de ",C27," %",", com a respectiva alíquota de ",C28,"  %")</f>
        <v>do ISS para Edificações é de 100 %, com a respectiva alíquota de 5  %</v>
      </c>
    </row>
    <row r="41" spans="1:6" x14ac:dyDescent="0.2">
      <c r="A41" s="727"/>
    </row>
    <row r="42" spans="1:6" x14ac:dyDescent="0.2">
      <c r="A42" s="728" t="s">
        <v>901</v>
      </c>
      <c r="B42" s="729"/>
      <c r="C42" s="730"/>
      <c r="D42" s="730"/>
    </row>
    <row r="43" spans="1:6" x14ac:dyDescent="0.2">
      <c r="A43" s="728" t="str">
        <f>CONCATENATE("elaboração do orçamento foi ",B8,", e que esta é a alternativa mais adequada para ")</f>
        <v xml:space="preserve">elaboração do orçamento foi Com Desoneração, e que esta é a alternativa mais adequada para </v>
      </c>
      <c r="C43" s="730"/>
      <c r="D43" s="730"/>
    </row>
    <row r="44" spans="1:6" x14ac:dyDescent="0.2">
      <c r="A44" s="728" t="s">
        <v>902</v>
      </c>
      <c r="C44" s="730"/>
      <c r="D44" s="730"/>
    </row>
    <row r="48" spans="1:6" x14ac:dyDescent="0.2">
      <c r="A48" s="705" t="s">
        <v>903</v>
      </c>
      <c r="B48" s="731" t="s">
        <v>904</v>
      </c>
    </row>
    <row r="49" spans="1:3" x14ac:dyDescent="0.2">
      <c r="A49" s="705" t="s">
        <v>905</v>
      </c>
      <c r="B49" s="732" t="s">
        <v>906</v>
      </c>
    </row>
    <row r="52" spans="1:3" x14ac:dyDescent="0.2">
      <c r="C52" s="697"/>
    </row>
    <row r="54" spans="1:3" x14ac:dyDescent="0.2">
      <c r="B54" s="731" t="s">
        <v>907</v>
      </c>
    </row>
    <row r="55" spans="1:3" x14ac:dyDescent="0.2">
      <c r="A55" s="705" t="s">
        <v>908</v>
      </c>
      <c r="B55" s="732" t="s">
        <v>909</v>
      </c>
    </row>
    <row r="56" spans="1:3" x14ac:dyDescent="0.2">
      <c r="A56" s="705" t="s">
        <v>910</v>
      </c>
      <c r="B56" s="732" t="s">
        <v>911</v>
      </c>
    </row>
  </sheetData>
  <sheetProtection selectLockedCells="1" autoFilter="0"/>
  <protectedRanges>
    <protectedRange sqref="C16:C19" name="Intervalo1"/>
    <protectedRange sqref="C20:C21 C30:C32" name="Intervalo2"/>
  </protectedRanges>
  <mergeCells count="9">
    <mergeCell ref="A23:D23"/>
    <mergeCell ref="A34:D34"/>
    <mergeCell ref="C36:D37"/>
    <mergeCell ref="A1:D1"/>
    <mergeCell ref="B3:D3"/>
    <mergeCell ref="B4:D4"/>
    <mergeCell ref="A6:D6"/>
    <mergeCell ref="A10:D10"/>
    <mergeCell ref="A14:D14"/>
  </mergeCells>
  <conditionalFormatting sqref="E36:F36">
    <cfRule type="cellIs" dxfId="0" priority="1" stopIfTrue="1" operator="equal">
      <formula>"Atende"</formula>
    </cfRule>
  </conditionalFormatting>
  <dataValidations disablePrompts="1" count="4">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79017EF9-0F0D-4466-8DE0-2E48A83C9BE3}">
      <formula1>"Edificações, Fornecimento de Materiais e Equipamentos, Redes de Água, Esgoto ou Correlatas, Rodovias e Ferrovias, Portuárias, Marítimas e Fluviais,"</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5B59BA06-728E-45E9-BFED-7C1E46B6AE81}">
      <formula1>"Com Desoneração, Sem Desoneração"</formula1>
    </dataValidation>
    <dataValidation type="decimal" allowBlank="1" showInputMessage="1" showErrorMessage="1" errorTitle="Atenção" error="O valor deve estar entre 2%  e  5%"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BEE03E74-B516-492D-AD11-66F352630A1A}">
      <formula1>2</formula1>
      <formula2>5</formula2>
    </dataValidation>
    <dataValidation type="decimal" allowBlank="1" showInputMessage="1" showErrorMessage="1" errorTitle="Atenção" error="O valor deve estar entre 0 e 100"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17A584DA-FED8-42A0-8E74-61DC5C641A7E}">
      <formula1>0</formula1>
      <formula2>100</formula2>
    </dataValidation>
  </dataValidations>
  <printOptions horizontalCentered="1"/>
  <pageMargins left="0.39370078740157483" right="0.39370078740157483" top="1.2037500000000001" bottom="0.39370078740157483" header="0.39370078740157483" footer="0.51181102362204722"/>
  <pageSetup paperSize="9" scale="107" orientation="portrait" r:id="rId1"/>
  <headerFooter alignWithMargins="0">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11</vt:i4>
      </vt:variant>
    </vt:vector>
  </HeadingPairs>
  <TitlesOfParts>
    <vt:vector size="18" baseType="lpstr">
      <vt:lpstr>Resumo</vt:lpstr>
      <vt:lpstr>Planilha Orçamentária</vt:lpstr>
      <vt:lpstr>Memorial de Cálculo</vt:lpstr>
      <vt:lpstr>Cronograma</vt:lpstr>
      <vt:lpstr>Composição</vt:lpstr>
      <vt:lpstr>COTAÇÃO</vt:lpstr>
      <vt:lpstr>Detalhamento do BDI</vt:lpstr>
      <vt:lpstr>Composição!Area_de_impressao</vt:lpstr>
      <vt:lpstr>COTAÇÃO!Area_de_impressao</vt:lpstr>
      <vt:lpstr>Cronograma!Area_de_impressao</vt:lpstr>
      <vt:lpstr>'Detalhamento do BDI'!Area_de_impressao</vt:lpstr>
      <vt:lpstr>'Memorial de Cálculo'!Area_de_impressao</vt:lpstr>
      <vt:lpstr>'Planilha Orçamentária'!Area_de_impressao</vt:lpstr>
      <vt:lpstr>Resumo!Area_de_impressao</vt:lpstr>
      <vt:lpstr>Cronograma!Titulos_de_impressao</vt:lpstr>
      <vt:lpstr>'Memorial de Cálculo'!Titulos_de_impressao</vt:lpstr>
      <vt:lpstr>'Planilha Orçamentária'!Titulos_de_impressao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fhrasko</dc:creator>
  <cp:lastModifiedBy>Catarina Demoner Diniz</cp:lastModifiedBy>
  <cp:lastPrinted>2019-12-09T11:07:19Z</cp:lastPrinted>
  <dcterms:created xsi:type="dcterms:W3CDTF">2013-05-06T17:13:09Z</dcterms:created>
  <dcterms:modified xsi:type="dcterms:W3CDTF">2019-12-09T11:07:50Z</dcterms:modified>
</cp:coreProperties>
</file>