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Msofi\Google Drive\1-JM Engenharia\5-Licitações\Itarana\Passarela + Quadra\Passarela\REVISÃO 05 - 30-05-2019\Orçamento\"/>
    </mc:Choice>
  </mc:AlternateContent>
  <xr:revisionPtr revIDLastSave="0" documentId="13_ncr:1_{DE33CA8B-E6D8-47BB-B75D-417CAB73B2D8}" xr6:coauthVersionLast="43" xr6:coauthVersionMax="43" xr10:uidLastSave="{00000000-0000-0000-0000-000000000000}"/>
  <bookViews>
    <workbookView xWindow="-108" yWindow="-108" windowWidth="23256" windowHeight="12576" tabRatio="583" xr2:uid="{00000000-000D-0000-FFFF-FFFF00000000}"/>
  </bookViews>
  <sheets>
    <sheet name="Resumo" sheetId="8" r:id="rId1"/>
    <sheet name="Planilha Orçamentária" sheetId="1" r:id="rId2"/>
    <sheet name="Memória de cálculo" sheetId="12" r:id="rId3"/>
    <sheet name="Cronograma" sheetId="4" r:id="rId4"/>
    <sheet name="COMPOSIÇÕES (2)" sheetId="19" r:id="rId5"/>
    <sheet name="Detalhamento do BDI" sheetId="15" r:id="rId6"/>
  </sheets>
  <externalReferences>
    <externalReference r:id="rId7"/>
    <externalReference r:id="rId8"/>
  </externalReferences>
  <definedNames>
    <definedName name="\a" localSheetId="4">#REF!</definedName>
    <definedName name="\a">#REF!</definedName>
    <definedName name="_xlnm._FilterDatabase" localSheetId="4" hidden="1">'COMPOSIÇÕES (2)'!$A$1:$A$159</definedName>
    <definedName name="aaa" localSheetId="4">#REF!</definedName>
    <definedName name="aaa">#REF!</definedName>
    <definedName name="_xlnm.Print_Area" localSheetId="4">'COMPOSIÇÕES (2)'!$A$1:$F$159</definedName>
    <definedName name="_xlnm.Print_Area" localSheetId="3">Cronograma!$A$1:$H$27</definedName>
    <definedName name="_xlnm.Print_Area" localSheetId="5">'Detalhamento do BDI'!$A$1:$D$40</definedName>
    <definedName name="_xlnm.Print_Area" localSheetId="2">'Memória de cálculo'!$A$1:$I$117</definedName>
    <definedName name="_xlnm.Print_Area" localSheetId="1">'Planilha Orçamentária'!$A$1:$H$63</definedName>
    <definedName name="_xlnm.Print_Area" localSheetId="0">Resumo!$A$1:$H$25</definedName>
    <definedName name="_xlnm.Database" localSheetId="4">#REF!</definedName>
    <definedName name="_xlnm.Database">#REF!</definedName>
    <definedName name="das" localSheetId="4">#REF!</definedName>
    <definedName name="das">#REF!</definedName>
    <definedName name="dasdasdas" localSheetId="4">#REF!</definedName>
    <definedName name="dasdasdas">#REF!</definedName>
    <definedName name="Excel_BuiltIn_Print_Area_2_1">"$#REF!.$A$1:$J$410"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4" localSheetId="4">#REF!</definedName>
    <definedName name="Excel_BuiltIn_Print_Area_4">#REF!</definedName>
    <definedName name="Excel_BuiltIn_Print_Titles_1_1">"$#REF!.$A$1:$AMJ$3"</definedName>
    <definedName name="Excel_BuiltIn_Print_Titles_2">"$#REF!.$A$1:$AMJ$2"</definedName>
    <definedName name="mediçao">[1]RESUMO!$M$2</definedName>
    <definedName name="p" localSheetId="4">#REF!</definedName>
    <definedName name="p">#REF!</definedName>
    <definedName name="Print_Area_MI" localSheetId="4">#REF!</definedName>
    <definedName name="Print_Area_MI">#REF!</definedName>
    <definedName name="PRINT_TITLES_MI" localSheetId="4">#REF!</definedName>
    <definedName name="PRINT_TITLES_MI">#REF!</definedName>
    <definedName name="Reajuste" localSheetId="4">#REF!</definedName>
    <definedName name="Reajuste">#REF!</definedName>
    <definedName name="TABLE_1_1">NA()</definedName>
    <definedName name="TABLE_1_7">NA()</definedName>
    <definedName name="TABLE_2_1_1">NA()</definedName>
    <definedName name="TABLE_2_1_7">NA()</definedName>
    <definedName name="_xlnm.Print_Titles" localSheetId="2">'Memória de cálculo'!$1:$5</definedName>
    <definedName name="_xlnm.Print_Titles" localSheetId="1">'Planilha Orçamentária'!$1:$5</definedName>
    <definedName name="VB1.0" localSheetId="4">#REF!</definedName>
    <definedName name="VB1.0">#REF!</definedName>
    <definedName name="VB1.1" localSheetId="4">#REF!</definedName>
    <definedName name="VB1.1">#REF!</definedName>
    <definedName name="VB1.3" localSheetId="4">#REF!</definedName>
    <definedName name="VB1.3">#REF!</definedName>
    <definedName name="VB2.0" localSheetId="4">#REF!</definedName>
    <definedName name="VB2.0">#REF!</definedName>
    <definedName name="VB2.1" localSheetId="4">#REF!</definedName>
    <definedName name="VB2.1">#REF!</definedName>
    <definedName name="VB2.10" localSheetId="4">#REF!</definedName>
    <definedName name="VB2.10">#REF!</definedName>
    <definedName name="VB2.2" localSheetId="4">#REF!</definedName>
    <definedName name="VB2.2">#REF!</definedName>
    <definedName name="VB2.3" localSheetId="4">#REF!</definedName>
    <definedName name="VB2.3">#REF!</definedName>
    <definedName name="VB2.4" localSheetId="4">#REF!</definedName>
    <definedName name="VB2.4">#REF!</definedName>
    <definedName name="VB2.5" localSheetId="4">#REF!</definedName>
    <definedName name="VB2.5">#REF!</definedName>
    <definedName name="VB2.6" localSheetId="4">#REF!</definedName>
    <definedName name="VB2.6">#REF!</definedName>
    <definedName name="VB2.7" localSheetId="4">#REF!</definedName>
    <definedName name="VB2.7">#REF!</definedName>
    <definedName name="VB2.8" localSheetId="4">#REF!</definedName>
    <definedName name="VB2.8">#REF!</definedName>
    <definedName name="VB2.9" localSheetId="4">#REF!</definedName>
    <definedName name="VB2.9">#REF!</definedName>
    <definedName name="VB3.0" localSheetId="4">#REF!</definedName>
    <definedName name="VB3.0">#REF!</definedName>
    <definedName name="VB3.1" localSheetId="4">#REF!</definedName>
    <definedName name="VB3.1">#REF!</definedName>
    <definedName name="VB3.2" localSheetId="4">#REF!</definedName>
    <definedName name="VB3.2">#REF!</definedName>
    <definedName name="VB3.3" localSheetId="4">#REF!</definedName>
    <definedName name="VB3.3">#REF!</definedName>
    <definedName name="VB3.4" localSheetId="4">#REF!</definedName>
    <definedName name="VB3.4">#REF!</definedName>
    <definedName name="VB3.5" localSheetId="4">#REF!</definedName>
    <definedName name="VB3.5">#REF!</definedName>
    <definedName name="VB3.6" localSheetId="4">#REF!</definedName>
    <definedName name="VB3.6">#REF!</definedName>
    <definedName name="VB3.7" localSheetId="4">#REF!</definedName>
    <definedName name="VB3.7">#REF!</definedName>
    <definedName name="VB4.0" localSheetId="4">#REF!</definedName>
    <definedName name="VB4.0">#REF!</definedName>
    <definedName name="VB4.1" localSheetId="4">#REF!</definedName>
    <definedName name="VB4.1">#REF!</definedName>
    <definedName name="VB4.2" localSheetId="4">#REF!</definedName>
    <definedName name="VB4.2">#REF!</definedName>
    <definedName name="VB4.3" localSheetId="4">#REF!</definedName>
    <definedName name="VB4.3">#REF!</definedName>
    <definedName name="VB4.3.1" localSheetId="4">#REF!</definedName>
    <definedName name="VB4.3.1">#REF!</definedName>
    <definedName name="VB4.3.2" localSheetId="4">#REF!</definedName>
    <definedName name="VB4.3.2">#REF!</definedName>
    <definedName name="VB4.4" localSheetId="4">#REF!</definedName>
    <definedName name="VB4.4">#REF!</definedName>
    <definedName name="VB4.5" localSheetId="4">#REF!</definedName>
    <definedName name="VB4.5">#REF!</definedName>
    <definedName name="VB5.0" localSheetId="4">#REF!</definedName>
    <definedName name="VB5.0">#REF!</definedName>
    <definedName name="VB5.1" localSheetId="4">#REF!</definedName>
    <definedName name="VB5.1">#REF!</definedName>
    <definedName name="VB5.2" localSheetId="4">#REF!</definedName>
    <definedName name="VB5.2">#REF!</definedName>
    <definedName name="VB6.0" localSheetId="4">#REF!</definedName>
    <definedName name="VB6.0">#REF!</definedName>
    <definedName name="VB6.1" localSheetId="4">#REF!</definedName>
    <definedName name="VB6.1">#REF!</definedName>
    <definedName name="VB6.2" localSheetId="4">#REF!</definedName>
    <definedName name="VB6.2">#REF!</definedName>
    <definedName name="VB6.2.1" localSheetId="4">#REF!</definedName>
    <definedName name="VB6.2.1">#REF!</definedName>
    <definedName name="VB6.2.2" localSheetId="4">#REF!</definedName>
    <definedName name="VB6.2.2">#REF!</definedName>
    <definedName name="VB6.2.3" localSheetId="4">#REF!</definedName>
    <definedName name="VB6.2.3">#REF!</definedName>
    <definedName name="VB6.3" localSheetId="4">#REF!</definedName>
    <definedName name="VB6.3">#REF!</definedName>
    <definedName name="VB6.3.1" localSheetId="4">#REF!</definedName>
    <definedName name="VB6.3.1">#REF!</definedName>
    <definedName name="VB6.3.2" localSheetId="4">#REF!</definedName>
    <definedName name="VB6.3.2">#REF!</definedName>
    <definedName name="VB6.4" localSheetId="4">#REF!</definedName>
    <definedName name="VB6.4">#REF!</definedName>
    <definedName name="VB6.4.1" localSheetId="4">#REF!</definedName>
    <definedName name="VB6.4.1">#REF!</definedName>
    <definedName name="VB6.4.2" localSheetId="4">#REF!</definedName>
    <definedName name="VB6.4.2">#REF!</definedName>
    <definedName name="VB6.4.3" localSheetId="4">#REF!</definedName>
    <definedName name="VB6.4.3">#REF!</definedName>
    <definedName name="VB6.4.4" localSheetId="4">#REF!</definedName>
    <definedName name="VB6.4.4">#REF!</definedName>
    <definedName name="VB6.4.5" localSheetId="4">#REF!</definedName>
    <definedName name="VB6.4.5">#REF!</definedName>
    <definedName name="VB6.5" localSheetId="4">#REF!</definedName>
    <definedName name="VB6.5">#REF!</definedName>
    <definedName name="VB6.6" localSheetId="4">#REF!</definedName>
    <definedName name="VB6.6">#REF!</definedName>
    <definedName name="VB6.7" localSheetId="4">#REF!</definedName>
    <definedName name="VB6.7">#REF!</definedName>
    <definedName name="VB6.8" localSheetId="4">#REF!</definedName>
    <definedName name="VB6.8">#REF!</definedName>
    <definedName name="VB6.8.1" localSheetId="4">#REF!</definedName>
    <definedName name="VB6.8.1">#REF!</definedName>
    <definedName name="VB6.8.2" localSheetId="4">#REF!</definedName>
    <definedName name="VB6.8.2">#REF!</definedName>
    <definedName name="VB6.8.3" localSheetId="4">#REF!</definedName>
    <definedName name="VB6.8.3">#REF!</definedName>
    <definedName name="VB6.8.4" localSheetId="4">#REF!</definedName>
    <definedName name="VB6.8.4">#REF!</definedName>
    <definedName name="VB6.8.5" localSheetId="4">#REF!</definedName>
    <definedName name="VB6.8.5">#REF!</definedName>
    <definedName name="VB6.8.6" localSheetId="4">#REF!</definedName>
    <definedName name="VB6.8.6">#REF!</definedName>
    <definedName name="VB6.8.7" localSheetId="4">#REF!</definedName>
    <definedName name="VB6.8.7">#REF!</definedName>
    <definedName name="VB6.8.8" localSheetId="4">#REF!</definedName>
    <definedName name="VB6.8.8">#REF!</definedName>
    <definedName name="VB6.8.9" localSheetId="4">#REF!</definedName>
    <definedName name="VB6.8.9">#REF!</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 i="4" l="1"/>
  <c r="H7" i="1"/>
  <c r="H126" i="19"/>
  <c r="G126" i="19"/>
  <c r="H17" i="4"/>
  <c r="G17" i="4"/>
  <c r="E148" i="19" l="1"/>
  <c r="E145" i="19"/>
  <c r="E144" i="19"/>
  <c r="E128" i="19"/>
  <c r="E127" i="19"/>
  <c r="E126" i="19"/>
  <c r="E99" i="19"/>
  <c r="D81" i="19"/>
  <c r="E76" i="19"/>
  <c r="D59" i="19" s="1"/>
  <c r="E49" i="19"/>
  <c r="D34" i="19" s="1"/>
  <c r="E25" i="19"/>
  <c r="D8" i="19" s="1"/>
  <c r="E22" i="19"/>
  <c r="E149" i="19" l="1"/>
  <c r="D134" i="19"/>
  <c r="D82" i="19"/>
  <c r="E112" i="19"/>
  <c r="F62" i="19" l="1"/>
  <c r="F61" i="19"/>
  <c r="F37" i="19"/>
  <c r="E105" i="19"/>
  <c r="E84" i="19"/>
  <c r="E57" i="19"/>
  <c r="E32" i="19"/>
  <c r="E6" i="19"/>
  <c r="F36" i="19" l="1"/>
  <c r="D7" i="1" l="1"/>
  <c r="D138" i="19" l="1"/>
  <c r="D137" i="19"/>
  <c r="E146" i="19"/>
  <c r="D135" i="19" s="1"/>
  <c r="D117" i="19"/>
  <c r="D133" i="19" s="1"/>
  <c r="D116" i="19"/>
  <c r="D132" i="19" s="1"/>
  <c r="D120" i="19"/>
  <c r="E129" i="19"/>
  <c r="D119" i="19" s="1"/>
  <c r="E94" i="19"/>
  <c r="E97" i="19"/>
  <c r="E113" i="19"/>
  <c r="D105" i="19" s="1"/>
  <c r="E111" i="19"/>
  <c r="E74" i="19"/>
  <c r="E73" i="19"/>
  <c r="D57" i="19" s="1"/>
  <c r="E47" i="19"/>
  <c r="E23" i="19"/>
  <c r="D6" i="19" l="1"/>
  <c r="D104" i="19"/>
  <c r="D118" i="19"/>
  <c r="F87" i="19" l="1"/>
  <c r="D86" i="19"/>
  <c r="E96" i="19"/>
  <c r="D85" i="19" s="1"/>
  <c r="E95" i="19"/>
  <c r="D84" i="19" s="1"/>
  <c r="E93" i="19"/>
  <c r="D83" i="19" s="1"/>
  <c r="E77" i="19"/>
  <c r="D60" i="19" s="1"/>
  <c r="E75" i="19"/>
  <c r="D58" i="19" s="1"/>
  <c r="E72" i="19"/>
  <c r="E71" i="19"/>
  <c r="E70" i="19"/>
  <c r="E69" i="19"/>
  <c r="E68" i="19"/>
  <c r="E50" i="19"/>
  <c r="D35" i="19" s="1"/>
  <c r="E48" i="19"/>
  <c r="D33" i="19" s="1"/>
  <c r="D32" i="19"/>
  <c r="E46" i="19"/>
  <c r="E45" i="19"/>
  <c r="E44" i="19"/>
  <c r="E43" i="19"/>
  <c r="D9" i="19"/>
  <c r="D10" i="19" s="1"/>
  <c r="F10" i="19" s="1"/>
  <c r="E24" i="19"/>
  <c r="D7" i="19" s="1"/>
  <c r="E21" i="19"/>
  <c r="E19" i="19"/>
  <c r="E20" i="19"/>
  <c r="E18" i="19"/>
  <c r="E17" i="19"/>
  <c r="E16" i="19"/>
  <c r="H19" i="12"/>
  <c r="F19" i="12"/>
  <c r="D56" i="19" l="1"/>
  <c r="D31" i="19"/>
  <c r="D5" i="19"/>
  <c r="H107" i="12"/>
  <c r="E105" i="12"/>
  <c r="I93" i="12"/>
  <c r="F56" i="1" s="1"/>
  <c r="I91" i="12"/>
  <c r="F55" i="1" s="1"/>
  <c r="C94" i="12"/>
  <c r="B94" i="12"/>
  <c r="C92" i="12"/>
  <c r="C89" i="12"/>
  <c r="C87" i="12"/>
  <c r="B87" i="12"/>
  <c r="C85" i="12"/>
  <c r="B85" i="12"/>
  <c r="C82" i="12"/>
  <c r="B82" i="12"/>
  <c r="C80" i="12"/>
  <c r="B80" i="12"/>
  <c r="C77" i="12"/>
  <c r="B77" i="12"/>
  <c r="H79" i="12"/>
  <c r="D56" i="1"/>
  <c r="B92" i="12" s="1"/>
  <c r="D55" i="1"/>
  <c r="B89" i="12" s="1"/>
  <c r="A94" i="12"/>
  <c r="A92" i="12"/>
  <c r="A89" i="12"/>
  <c r="A87" i="12"/>
  <c r="A85" i="12"/>
  <c r="A82" i="12"/>
  <c r="A80" i="12"/>
  <c r="A77" i="12"/>
  <c r="A74" i="12"/>
  <c r="A72" i="12"/>
  <c r="A70" i="12"/>
  <c r="A68" i="12"/>
  <c r="A66" i="12"/>
  <c r="A64" i="12"/>
  <c r="A62" i="12"/>
  <c r="A60" i="12"/>
  <c r="A58" i="12"/>
  <c r="H56" i="12"/>
  <c r="H54" i="12"/>
  <c r="I52" i="12"/>
  <c r="F33" i="1" s="1"/>
  <c r="I50" i="12"/>
  <c r="F32" i="1" s="1"/>
  <c r="C55" i="12"/>
  <c r="B55" i="12"/>
  <c r="C53" i="12"/>
  <c r="B53" i="12"/>
  <c r="C51" i="12"/>
  <c r="B51" i="12"/>
  <c r="C49" i="12"/>
  <c r="B49" i="12"/>
  <c r="C47" i="12"/>
  <c r="C45" i="12"/>
  <c r="A55" i="12"/>
  <c r="A53" i="12"/>
  <c r="A51" i="12"/>
  <c r="A49" i="12"/>
  <c r="A47" i="12"/>
  <c r="A45" i="12"/>
  <c r="H43" i="12"/>
  <c r="I39" i="12"/>
  <c r="F25" i="1" s="1"/>
  <c r="I37" i="12"/>
  <c r="F24" i="1" s="1"/>
  <c r="C42" i="12"/>
  <c r="B42" i="12"/>
  <c r="C40" i="12"/>
  <c r="C36" i="12"/>
  <c r="C38" i="12"/>
  <c r="A42" i="12"/>
  <c r="A40" i="12"/>
  <c r="A38" i="12"/>
  <c r="A36" i="12"/>
  <c r="C20" i="12"/>
  <c r="C17" i="12"/>
  <c r="C15" i="12"/>
  <c r="C10" i="12"/>
  <c r="C7" i="12"/>
  <c r="I32" i="12"/>
  <c r="F20" i="1" s="1"/>
  <c r="I28" i="12"/>
  <c r="F18" i="1" s="1"/>
  <c r="I26" i="12"/>
  <c r="F17" i="1" s="1"/>
  <c r="B33" i="12"/>
  <c r="B31" i="12"/>
  <c r="B29" i="12"/>
  <c r="B27" i="12"/>
  <c r="B25" i="12"/>
  <c r="B23" i="12"/>
  <c r="A33" i="12"/>
  <c r="A31" i="12"/>
  <c r="A29" i="12"/>
  <c r="A27" i="12"/>
  <c r="A25" i="12"/>
  <c r="A23" i="12"/>
  <c r="B20" i="12"/>
  <c r="B17" i="12"/>
  <c r="B15" i="12"/>
  <c r="B10" i="12"/>
  <c r="A20" i="12"/>
  <c r="A17" i="12"/>
  <c r="A15" i="12"/>
  <c r="A10" i="12"/>
  <c r="A7" i="12"/>
  <c r="G20" i="1"/>
  <c r="G12" i="1"/>
  <c r="G13" i="1"/>
  <c r="F153" i="19"/>
  <c r="G21" i="1"/>
  <c r="D31" i="1"/>
  <c r="B47" i="12" s="1"/>
  <c r="D30" i="1"/>
  <c r="B45" i="12" s="1"/>
  <c r="H20" i="1" l="1"/>
  <c r="D26" i="1"/>
  <c r="B40" i="12" s="1"/>
  <c r="D25" i="1"/>
  <c r="B38" i="12" s="1"/>
  <c r="D24" i="1"/>
  <c r="B36" i="12" s="1"/>
  <c r="F138" i="19" l="1"/>
  <c r="F137" i="19"/>
  <c r="F136" i="19"/>
  <c r="F135" i="19"/>
  <c r="F134" i="19"/>
  <c r="F133" i="19"/>
  <c r="F132" i="19"/>
  <c r="F118" i="19"/>
  <c r="F117" i="19"/>
  <c r="F116" i="19"/>
  <c r="F105" i="19"/>
  <c r="F104" i="19"/>
  <c r="F103" i="19"/>
  <c r="F102" i="19"/>
  <c r="F86" i="19"/>
  <c r="F85" i="19"/>
  <c r="F84" i="19"/>
  <c r="F83" i="19"/>
  <c r="F82" i="19"/>
  <c r="F81" i="19"/>
  <c r="F60" i="19"/>
  <c r="F59" i="19"/>
  <c r="F58" i="19"/>
  <c r="F57" i="19"/>
  <c r="F56" i="19"/>
  <c r="F55" i="19"/>
  <c r="F54" i="19"/>
  <c r="F35" i="19"/>
  <c r="F34" i="19"/>
  <c r="F33" i="19"/>
  <c r="F32" i="19"/>
  <c r="F31" i="19"/>
  <c r="F30" i="19"/>
  <c r="F29" i="19"/>
  <c r="F9" i="19"/>
  <c r="F5" i="19"/>
  <c r="F6" i="19"/>
  <c r="F7" i="19"/>
  <c r="F8" i="19"/>
  <c r="F152" i="19"/>
  <c r="F154" i="19" s="1"/>
  <c r="J7" i="1" s="1"/>
  <c r="G7" i="1" s="1"/>
  <c r="F120" i="19"/>
  <c r="F119" i="19"/>
  <c r="F4" i="19"/>
  <c r="F3" i="19"/>
  <c r="F11" i="19" l="1"/>
  <c r="J30" i="1" s="1"/>
  <c r="F121" i="19"/>
  <c r="J55" i="1" s="1"/>
  <c r="F88" i="19"/>
  <c r="F38" i="19"/>
  <c r="J24" i="1" s="1"/>
  <c r="G24" i="1" s="1"/>
  <c r="F63" i="19"/>
  <c r="J25" i="1" s="1"/>
  <c r="G25" i="1" s="1"/>
  <c r="F139" i="19"/>
  <c r="J56" i="1" s="1"/>
  <c r="F106" i="19"/>
  <c r="J31" i="1" s="1"/>
  <c r="H14" i="12"/>
  <c r="J26" i="1" l="1"/>
  <c r="G26" i="1" s="1"/>
  <c r="G56" i="1" l="1"/>
  <c r="H56" i="1" s="1"/>
  <c r="I54" i="12"/>
  <c r="F34" i="1" s="1"/>
  <c r="F111" i="12"/>
  <c r="F110" i="12" l="1"/>
  <c r="H110" i="12" s="1"/>
  <c r="H111" i="12"/>
  <c r="H109" i="12"/>
  <c r="H106" i="12"/>
  <c r="H105" i="12"/>
  <c r="H104" i="12"/>
  <c r="H101" i="12"/>
  <c r="H102" i="12"/>
  <c r="H100" i="12"/>
  <c r="H97" i="12"/>
  <c r="H98" i="12"/>
  <c r="H96" i="12"/>
  <c r="H95" i="12" l="1"/>
  <c r="H108" i="12"/>
  <c r="H99" i="12"/>
  <c r="H103" i="12"/>
  <c r="I112" i="12" l="1"/>
  <c r="F57" i="1" s="1"/>
  <c r="I43" i="12"/>
  <c r="F27" i="1" s="1"/>
  <c r="I41" i="12"/>
  <c r="G31" i="1" l="1"/>
  <c r="G35" i="1"/>
  <c r="G34" i="1"/>
  <c r="H16" i="12"/>
  <c r="I16" i="12" s="1"/>
  <c r="F11" i="1" s="1"/>
  <c r="G11" i="1"/>
  <c r="G27" i="1"/>
  <c r="H11" i="1" l="1"/>
  <c r="H27" i="1"/>
  <c r="I56" i="12"/>
  <c r="F35" i="1" s="1"/>
  <c r="J39" i="12"/>
  <c r="H34" i="1" l="1"/>
  <c r="H35" i="1"/>
  <c r="J37" i="12" l="1"/>
  <c r="H24" i="1" l="1"/>
  <c r="I18" i="4" l="1"/>
  <c r="I16" i="4"/>
  <c r="I14" i="4"/>
  <c r="I12" i="4"/>
  <c r="I10" i="4"/>
  <c r="I6" i="4"/>
  <c r="G57" i="1"/>
  <c r="H57" i="1" s="1"/>
  <c r="G55" i="1"/>
  <c r="H55" i="1" s="1"/>
  <c r="G51" i="1"/>
  <c r="G52" i="1"/>
  <c r="G53" i="1"/>
  <c r="G54" i="1"/>
  <c r="G50" i="1"/>
  <c r="G39" i="1"/>
  <c r="G40" i="1"/>
  <c r="G41" i="1"/>
  <c r="G42" i="1"/>
  <c r="G43" i="1"/>
  <c r="G44" i="1"/>
  <c r="G45" i="1"/>
  <c r="G46" i="1"/>
  <c r="G38" i="1"/>
  <c r="G32" i="1"/>
  <c r="G33" i="1"/>
  <c r="G30" i="1" l="1"/>
  <c r="H26" i="1" l="1"/>
  <c r="G17" i="1"/>
  <c r="G19" i="1"/>
  <c r="G18" i="1"/>
  <c r="G16" i="1"/>
  <c r="G10" i="1"/>
  <c r="I48" i="12"/>
  <c r="I46" i="12"/>
  <c r="B44" i="12"/>
  <c r="B35" i="12"/>
  <c r="H25" i="1"/>
  <c r="I65" i="12"/>
  <c r="F41" i="1" s="1"/>
  <c r="H41" i="1" s="1"/>
  <c r="I71" i="12"/>
  <c r="F44" i="1" s="1"/>
  <c r="H44" i="1" s="1"/>
  <c r="I8" i="12"/>
  <c r="F7" i="1" s="1"/>
  <c r="F13" i="12"/>
  <c r="H13" i="12" s="1"/>
  <c r="H12" i="12"/>
  <c r="H11" i="12"/>
  <c r="C31" i="15"/>
  <c r="C27" i="15" s="1"/>
  <c r="C35" i="15" s="1"/>
  <c r="H78" i="12"/>
  <c r="I88" i="12"/>
  <c r="I86" i="12"/>
  <c r="H81" i="12"/>
  <c r="I81" i="12" s="1"/>
  <c r="F51" i="1" s="1"/>
  <c r="B76" i="12"/>
  <c r="B74" i="12"/>
  <c r="B72" i="12"/>
  <c r="B70" i="12"/>
  <c r="I73" i="12"/>
  <c r="F45" i="1" s="1"/>
  <c r="H45" i="1" s="1"/>
  <c r="B68" i="12"/>
  <c r="B66" i="12"/>
  <c r="B64" i="12"/>
  <c r="B62" i="12"/>
  <c r="B60" i="12"/>
  <c r="B58" i="12"/>
  <c r="B57" i="12"/>
  <c r="G34" i="12"/>
  <c r="H34" i="12" s="1"/>
  <c r="I34" i="12" s="1"/>
  <c r="F21" i="1" s="1"/>
  <c r="H21" i="1" s="1"/>
  <c r="I30" i="12"/>
  <c r="F19" i="1" s="1"/>
  <c r="I75" i="12"/>
  <c r="F46" i="1" s="1"/>
  <c r="H46" i="1" s="1"/>
  <c r="H24" i="12"/>
  <c r="B10" i="4"/>
  <c r="B6" i="4"/>
  <c r="B12" i="4"/>
  <c r="B14" i="4"/>
  <c r="B16" i="4"/>
  <c r="B18" i="4"/>
  <c r="A18" i="4"/>
  <c r="F53" i="1" l="1"/>
  <c r="H53" i="1" s="1"/>
  <c r="F54" i="1"/>
  <c r="H54" i="1" s="1"/>
  <c r="H32" i="1"/>
  <c r="F30" i="1"/>
  <c r="H30" i="1" s="1"/>
  <c r="H33" i="1"/>
  <c r="F31" i="1"/>
  <c r="H31" i="1" s="1"/>
  <c r="H28" i="1"/>
  <c r="I84" i="12"/>
  <c r="F52" i="1" s="1"/>
  <c r="I79" i="12"/>
  <c r="F50" i="1" s="1"/>
  <c r="I14" i="12"/>
  <c r="H19" i="1"/>
  <c r="F35" i="15"/>
  <c r="H36" i="1" l="1"/>
  <c r="D14" i="4" s="1"/>
  <c r="F15" i="4" s="1"/>
  <c r="H18" i="12"/>
  <c r="I19" i="12" s="1"/>
  <c r="F12" i="1" s="1"/>
  <c r="F10" i="1"/>
  <c r="H52" i="1"/>
  <c r="H51" i="1"/>
  <c r="H50" i="1"/>
  <c r="H18" i="1"/>
  <c r="H58" i="1" l="1"/>
  <c r="D18" i="4" s="1"/>
  <c r="G15" i="4"/>
  <c r="H21" i="12"/>
  <c r="I21" i="12" s="1"/>
  <c r="F13" i="1" s="1"/>
  <c r="H13" i="1" s="1"/>
  <c r="H12" i="1"/>
  <c r="H19" i="4" l="1"/>
  <c r="G19" i="4"/>
  <c r="I69" i="12"/>
  <c r="F43" i="1" s="1"/>
  <c r="H43" i="1" s="1"/>
  <c r="I19" i="4" l="1"/>
  <c r="I61" i="12"/>
  <c r="F39" i="1" s="1"/>
  <c r="H39" i="1" s="1"/>
  <c r="H17" i="1" l="1"/>
  <c r="B8" i="4"/>
  <c r="I67" i="12"/>
  <c r="F42" i="1" s="1"/>
  <c r="H42" i="1" s="1"/>
  <c r="I63" i="12"/>
  <c r="F40" i="1" s="1"/>
  <c r="H40" i="1" s="1"/>
  <c r="I59" i="12"/>
  <c r="F38" i="1" s="1"/>
  <c r="H38" i="1" s="1"/>
  <c r="I24" i="12"/>
  <c r="F16" i="1" s="1"/>
  <c r="B22" i="12"/>
  <c r="B9" i="12"/>
  <c r="B7" i="12"/>
  <c r="B6" i="12"/>
  <c r="H47" i="1" l="1"/>
  <c r="D16" i="4" s="1"/>
  <c r="D12" i="4"/>
  <c r="H16" i="1"/>
  <c r="H22" i="1" s="1"/>
  <c r="E13" i="4" l="1"/>
  <c r="F13" i="4"/>
  <c r="F17" i="4"/>
  <c r="H10" i="1"/>
  <c r="H14" i="1" s="1"/>
  <c r="D8" i="4" l="1"/>
  <c r="E9" i="4" s="1"/>
  <c r="H8" i="1" l="1"/>
  <c r="E60" i="1" s="1"/>
  <c r="D6" i="4" l="1"/>
  <c r="H7" i="4" s="1"/>
  <c r="H22" i="4" s="1"/>
  <c r="F7" i="4" l="1"/>
  <c r="F22" i="4" s="1"/>
  <c r="E7" i="4"/>
  <c r="G7" i="4"/>
  <c r="G22" i="4" s="1"/>
  <c r="I15" i="4"/>
  <c r="I7" i="4" l="1"/>
  <c r="I17" i="4"/>
  <c r="D10" i="4" l="1"/>
  <c r="I13" i="4"/>
  <c r="D20" i="4" l="1"/>
  <c r="E11" i="4"/>
  <c r="E22" i="4" s="1"/>
  <c r="I9" i="4"/>
  <c r="I8" i="4"/>
  <c r="F20" i="4" l="1"/>
  <c r="G20" i="4"/>
  <c r="I11" i="4"/>
  <c r="E20" i="4"/>
  <c r="E21" i="4" s="1"/>
  <c r="E23" i="4"/>
  <c r="F23" i="4" s="1"/>
  <c r="G23" i="4" s="1"/>
  <c r="H23" i="4" s="1"/>
  <c r="F21" i="4" l="1"/>
  <c r="G21" i="4" s="1"/>
  <c r="H2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B6945C8B-59EC-44AA-BBA2-034247BF518E}">
      <text>
        <r>
          <rPr>
            <sz val="9"/>
            <color indexed="81"/>
            <rFont val="Segoe UI"/>
            <family val="2"/>
          </rPr>
          <t>Nome do Orgão  ou Empresa Executante</t>
        </r>
      </text>
    </comment>
    <comment ref="B10" authorId="1" shapeId="0" xr:uid="{1344EBB5-9399-42E2-B25A-6A0002D48728}">
      <text>
        <r>
          <rPr>
            <b/>
            <sz val="9"/>
            <color indexed="81"/>
            <rFont val="Tahoma"/>
            <family val="2"/>
          </rPr>
          <t>Escolha</t>
        </r>
        <r>
          <rPr>
            <sz val="9"/>
            <color indexed="81"/>
            <rFont val="Tahoma"/>
            <family val="2"/>
          </rPr>
          <t xml:space="preserve">
</t>
        </r>
      </text>
    </comment>
    <comment ref="B14" authorId="1" shapeId="0" xr:uid="{C26B4959-216D-4162-951D-F1E4DBB7A582}">
      <text>
        <r>
          <rPr>
            <b/>
            <sz val="9"/>
            <color indexed="81"/>
            <rFont val="Tahoma"/>
            <family val="2"/>
          </rPr>
          <t>Escolha</t>
        </r>
        <r>
          <rPr>
            <sz val="9"/>
            <color indexed="81"/>
            <rFont val="Tahoma"/>
            <family val="2"/>
          </rPr>
          <t xml:space="preserve">
</t>
        </r>
      </text>
    </comment>
    <comment ref="C18" authorId="2" shapeId="0" xr:uid="{B5001045-360E-4EB9-A1C4-DBB7F8BC9381}">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9" authorId="2" shapeId="0" xr:uid="{E2136749-C778-4264-9E90-C17E95430446}">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21" authorId="2" shapeId="0" xr:uid="{16448586-0EE8-4553-B0ED-7D928B2B8727}">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3" authorId="2" shapeId="0" xr:uid="{7A8B12C7-E3D9-418D-A9E9-1A8595BA055A}">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7" authorId="2" shapeId="0" xr:uid="{9374B4F6-026D-431D-87B0-FE3F83A1F748}">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29" authorId="2" shapeId="0" xr:uid="{D885C5D0-05A7-43C4-980F-1A0945290D9B}">
      <text>
        <r>
          <rPr>
            <sz val="10"/>
            <color indexed="81"/>
            <rFont val="Tahoma"/>
            <family val="2"/>
          </rPr>
          <t>COFINS (Contribuição para Financiamento da Seguridade Socia Financia a seguridade social pelo sistema S (SESC, SESI, SENAC, SENAI, SEST, SENAT, SENAR E SEBRAE).</t>
        </r>
      </text>
    </comment>
    <comment ref="C30" authorId="2" shapeId="0" xr:uid="{303216B1-1F4B-4369-B694-18F9A67436B8}">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<sst xmlns="http://schemas.openxmlformats.org/spreadsheetml/2006/main" count="791" uniqueCount="365">
  <si>
    <t>ITEM</t>
  </si>
  <si>
    <t>ORGÃO</t>
  </si>
  <si>
    <t>DESCRIÇÃO SERVIÇO</t>
  </si>
  <si>
    <t>m</t>
  </si>
  <si>
    <t>SERVIÇOS PRELIMINARES</t>
  </si>
  <si>
    <t>TOTAL GERAL</t>
  </si>
  <si>
    <t>TOTAL</t>
  </si>
  <si>
    <t>DESCRIÇÃO</t>
  </si>
  <si>
    <t>PERÍODO (MESES)</t>
  </si>
  <si>
    <t xml:space="preserve">Físico (%) </t>
  </si>
  <si>
    <t>Financeiro (R$)</t>
  </si>
  <si>
    <t>Total Parcial (%)</t>
  </si>
  <si>
    <t>Total Acumulado (%)</t>
  </si>
  <si>
    <t>Total Financeiro (R$)</t>
  </si>
  <si>
    <t>Total Acumulado (R$)</t>
  </si>
  <si>
    <t>PLANILHA ORÇAMENTÁRIA</t>
  </si>
  <si>
    <t>VALORES (R$)</t>
  </si>
  <si>
    <t>UNITÁRIO</t>
  </si>
  <si>
    <t>CUSTO (R$)</t>
  </si>
  <si>
    <t>UNID.</t>
  </si>
  <si>
    <t>MEMÓRIA DE CÁLCULO</t>
  </si>
  <si>
    <t>CRONOGRAMA FISICO-FINANCEIRO</t>
  </si>
  <si>
    <t>CÓD.</t>
  </si>
  <si>
    <t>CRONOGRAMA FÍSICO-FINANCEIRO</t>
  </si>
  <si>
    <t>%</t>
  </si>
  <si>
    <t>CANTEIRO DE OBRAS</t>
  </si>
  <si>
    <t>SINAPI</t>
  </si>
  <si>
    <t>QUANT.</t>
  </si>
  <si>
    <t>kg</t>
  </si>
  <si>
    <t>Total do item</t>
  </si>
  <si>
    <t>ADMINISTRAÇÃO LOCAL</t>
  </si>
  <si>
    <t>DESCRIÇÃO DOS SERVIÇOS</t>
  </si>
  <si>
    <t>CÁLCULOS DE QUANTIDADES</t>
  </si>
  <si>
    <t>UND.</t>
  </si>
  <si>
    <t>CÁLCULOS E INDICAÇÕES</t>
  </si>
  <si>
    <t>4.2</t>
  </si>
  <si>
    <t>Compr.</t>
  </si>
  <si>
    <t>Largura</t>
  </si>
  <si>
    <t>Altura</t>
  </si>
  <si>
    <t>Sub-total</t>
  </si>
  <si>
    <t>6.0</t>
  </si>
  <si>
    <t>6.2</t>
  </si>
  <si>
    <t>1.0</t>
  </si>
  <si>
    <t>1.1</t>
  </si>
  <si>
    <t>2.0</t>
  </si>
  <si>
    <t>2.1</t>
  </si>
  <si>
    <t>3.0</t>
  </si>
  <si>
    <t>3.1</t>
  </si>
  <si>
    <t>3.2</t>
  </si>
  <si>
    <t>3.3</t>
  </si>
  <si>
    <t>3.4</t>
  </si>
  <si>
    <t>3.5</t>
  </si>
  <si>
    <t>3.6</t>
  </si>
  <si>
    <t>4.0</t>
  </si>
  <si>
    <t>4.1</t>
  </si>
  <si>
    <t>4.3</t>
  </si>
  <si>
    <t>5.0</t>
  </si>
  <si>
    <t>5.1</t>
  </si>
  <si>
    <t>5.2</t>
  </si>
  <si>
    <t>5.3</t>
  </si>
  <si>
    <t>6.1</t>
  </si>
  <si>
    <t>6.3</t>
  </si>
  <si>
    <t>6.4</t>
  </si>
  <si>
    <t>6.5</t>
  </si>
  <si>
    <t>Área</t>
  </si>
  <si>
    <t>SERVIÇOS COMPLEMENTARES</t>
  </si>
  <si>
    <t>6.6</t>
  </si>
  <si>
    <t>PROJETOS</t>
  </si>
  <si>
    <t>DEMOLIÇÃO DE PILARES E VIGAS EM CONCRETO ARMADO, DE FORMA MECANIZADA COM MARTELETE, SEM REAPROVEITAMENTO. AF_12/2017</t>
  </si>
  <si>
    <t>97627</t>
  </si>
  <si>
    <t xml:space="preserve">ENGENHEIRO CIVIL DE OBRA PLENO COM ENCARGOS COMPLEMENTARES </t>
  </si>
  <si>
    <t>H</t>
  </si>
  <si>
    <t>2.2</t>
  </si>
  <si>
    <t>2.3</t>
  </si>
  <si>
    <t>MERC.</t>
  </si>
  <si>
    <t xml:space="preserve">PLACA DE OBRA EM CHAPA DE ACO GALVANIZADO </t>
  </si>
  <si>
    <t xml:space="preserve">74209/001 </t>
  </si>
  <si>
    <t>UND</t>
  </si>
  <si>
    <t>EXECUÇÃO DE CENTRAL DE ARMADURA EM CANTEIRO DE OBRA, NÃO INCLUSO MOBILIÁRIO E EQUIPAMENTOS. AF_04/2016</t>
  </si>
  <si>
    <t>93582</t>
  </si>
  <si>
    <t>ENTRADA PROVISORIA DE ENERGIA ELETRICA AEREA TRIFASICA 40A EM POSTE MADEIRA</t>
  </si>
  <si>
    <t xml:space="preserve">41598 </t>
  </si>
  <si>
    <t>ESTRUTURA DA PASSARELA</t>
  </si>
  <si>
    <t>COBERTURA DA PASSARELA</t>
  </si>
  <si>
    <t>EXECUÇÃO DE PASSEIO (CALÇADA) OU PISO DE CONCRETO COM CONCRETO MOLDADOIN LOCO, FEITO EM OBRA, ACABAMENTO CONVENCIONAL, NÃO ARMADO. AF_07/2016</t>
  </si>
  <si>
    <t>M³</t>
  </si>
  <si>
    <t>M²</t>
  </si>
  <si>
    <t>M</t>
  </si>
  <si>
    <t>ASSENTAMENTO DE GUIA (MEIO-FIO) EM TRECHO CURVO, CONFECCIONADA EM CONCRETO PRÉ-FABRICADO, DIMENSÕES 100X15X13X30 CM (COMPRIMENTO X BASE INFERIOR X BASE SUPERIOR X ALTURA), PARA VIAS URBANAS (USO VIÁRIO). AF_06/2016</t>
  </si>
  <si>
    <t>INTALAÇÕES ELÉTRICAS</t>
  </si>
  <si>
    <t>DISJUNTOR MONOPOLAR TIPO DIN, CORRENTE NOMINAL DE 10A - FORNECIMENTO E INSTALAÇÃO</t>
  </si>
  <si>
    <t>RELE FOTOELETRICO P/ COMANDO DE ILUMINACAO EXTERNA 220V/1000W - FORNECIMENTO E INSTALACAO</t>
  </si>
  <si>
    <t>DUTO ESPIRAL FLEXIVEL SINGELO PEAD D=50MM(2") REVESTIDO COM PVC COM FIO GUIA DE ACO GALVANIZADO, LANCADO DIRETO NO SOLO, INCL CONEXOES</t>
  </si>
  <si>
    <t>CABO DE COBRE FLEXÍVEL ISOLADO, 2,5 MM², ANTI-CHAMA 450/750 V, PARA CIRCUITOS TERMINAIS - FORNECIMENTO E INSTALAÇÃO.</t>
  </si>
  <si>
    <t>HASTE DE ATERRAMENTO 5/8 PARA SPDA - FORNECIMENTO E INSTALAÇÃO.</t>
  </si>
  <si>
    <t>QUADRO DE DISTRIBUICAO DE ENERGIA DE EMBUTIR, EM CHAPA METALICA, PARA 3 DISJUNTORES TERMOMAGNETICOS MONOPOLARES SEM BARRAMENTO FORNECIMENTO E INSTALACAO</t>
  </si>
  <si>
    <t>6.7</t>
  </si>
  <si>
    <t>6.8</t>
  </si>
  <si>
    <t>6.9</t>
  </si>
  <si>
    <t>74131/001</t>
  </si>
  <si>
    <t>93653</t>
  </si>
  <si>
    <t>83399</t>
  </si>
  <si>
    <t>73798/001</t>
  </si>
  <si>
    <t>91926</t>
  </si>
  <si>
    <t>96985</t>
  </si>
  <si>
    <t>7.0</t>
  </si>
  <si>
    <t>PREPARO DE FUNDO DE VALA COM LARGURA MENOR QUE 1,5 M, EM LOCAL COM NÍVEL ALTO DE INTERFERÊNCIA. AF_06/2016</t>
  </si>
  <si>
    <t>dimensões:</t>
  </si>
  <si>
    <t>7.1</t>
  </si>
  <si>
    <t>7.2</t>
  </si>
  <si>
    <t>7.3</t>
  </si>
  <si>
    <t>7.4</t>
  </si>
  <si>
    <t>7.5</t>
  </si>
  <si>
    <t>7.6</t>
  </si>
  <si>
    <t>Projeto elétrico prancha 01/01</t>
  </si>
  <si>
    <t>Projeto arquitetônico prancha 01/03 (remoção de poste da EDP):</t>
  </si>
  <si>
    <t>Projeto arquitetônico prancha 01/03 (recupreção de calçadas da ponte)</t>
  </si>
  <si>
    <t>Comp.</t>
  </si>
  <si>
    <t>Projeto arquitetônico prancha 01/03 (canteiro para realocação do poste)</t>
  </si>
  <si>
    <t>Projeto arquitetônico prancha 02/03 (passarela lado 1)</t>
  </si>
  <si>
    <t>Projeto arquitetônico prancha 02/03 (passarela lado 2)</t>
  </si>
  <si>
    <t>DETALHAMENTO DO BDI</t>
  </si>
  <si>
    <t>PROPONENTE:</t>
  </si>
  <si>
    <t>Prefeitura Municipal de Itarana - ES</t>
  </si>
  <si>
    <t>OBRA:</t>
  </si>
  <si>
    <t>CONTRATO:</t>
  </si>
  <si>
    <t>1. Regime de Contribuição Previdenciária</t>
  </si>
  <si>
    <t>Com Desoneração</t>
  </si>
  <si>
    <t>2. Tipo de Intervenção</t>
  </si>
  <si>
    <t>Edificações</t>
  </si>
  <si>
    <t>3. Incidências sobre o custo</t>
  </si>
  <si>
    <t>4 – Incidências sobre o preço de venda</t>
  </si>
  <si>
    <t>Despesas Tributárias - I</t>
  </si>
  <si>
    <t>ISS</t>
  </si>
  <si>
    <t>COFINS</t>
  </si>
  <si>
    <t>PIS</t>
  </si>
  <si>
    <t>INSS</t>
  </si>
  <si>
    <t>5 – Demonstrativo de cálculo do BDI</t>
  </si>
  <si>
    <t>( 1- I )</t>
  </si>
  <si>
    <t>Construção de passarela com cobertura</t>
  </si>
  <si>
    <t>CONSTRUÇÃO DE PASSARELA COM COBERTURA</t>
  </si>
  <si>
    <t>Projeto arquitetônico prancha 01/03 (demolição de pilares do guarda-corpo)</t>
  </si>
  <si>
    <t>Quant</t>
  </si>
  <si>
    <t>Projeto arquitetônico prancha 01/03 (demolição de vigas do guarda-corpo)</t>
  </si>
  <si>
    <t>CONTEÚDO:</t>
  </si>
  <si>
    <r>
      <rPr>
        <b/>
        <sz val="14"/>
        <rFont val="Century Gothic"/>
        <family val="2"/>
      </rPr>
      <t xml:space="preserve">LOCAL: </t>
    </r>
    <r>
      <rPr>
        <sz val="14"/>
        <rFont val="Century Gothic"/>
        <family val="2"/>
      </rPr>
      <t>CENTRO, ITARANA - ES.</t>
    </r>
  </si>
  <si>
    <t>TRAMA DE AÇO COMPOSTA POR TERÇAS PARA TELHADOS DE ATÉ 2 ÁGUAS PARA TELHA ONDULADA DE FIBROCIMENTO, METÁLICA, PLÁSTICA OU TERMOACÚSTICA, INCLUSO TRANSPORTE VERTICAL. AF_12/2015.</t>
  </si>
  <si>
    <t>Projeto arquitetônico prancha 02/03 (área de cobertura)</t>
  </si>
  <si>
    <t>TELHAMENTO COM TELHA METÁLICA TERMOACÚSTICA E = 30 MM, COM ATÉ 2 ÁGUAS, INCLUSO IÇAMENTO. AF_06/2016</t>
  </si>
  <si>
    <t>7.7</t>
  </si>
  <si>
    <t>Valor Unit</t>
  </si>
  <si>
    <t>Total</t>
  </si>
  <si>
    <t>COMP. 1</t>
  </si>
  <si>
    <t xml:space="preserve">SERRALHEIRO COM ENCARGOS COMPLEMENTARES </t>
  </si>
  <si>
    <t>COMP. 2</t>
  </si>
  <si>
    <t>KG</t>
  </si>
  <si>
    <t>5.4</t>
  </si>
  <si>
    <t>Repetições</t>
  </si>
  <si>
    <t>5.5</t>
  </si>
  <si>
    <t>COMP. 3</t>
  </si>
  <si>
    <t>4.4</t>
  </si>
  <si>
    <t>COMP. 4</t>
  </si>
  <si>
    <t>COMP. 5</t>
  </si>
  <si>
    <t>SERVENTE COM ENCARGOS COMPLEMENTARES</t>
  </si>
  <si>
    <t>Coef.</t>
  </si>
  <si>
    <t>COMP. 6</t>
  </si>
  <si>
    <t>7697</t>
  </si>
  <si>
    <t>* Referência: 73631 (SINAPI)</t>
  </si>
  <si>
    <t>GUINDAUTO HIDRÁULICO, CAPACIDADE MÁXIMA DE CARGA 3300 KG, MOMENTO MÁXIMO DE CARGA 5,8 TM, ALCANCE MÁXIMO HORIZONTAL 7,60 M, INCLUSIVE CAMINHÃO TOCO PBT 16.000 KG, POTÊNCIA DE 189 CV - CHP DIURNO. AF_03/2016</t>
  </si>
  <si>
    <t>CHP</t>
  </si>
  <si>
    <t>Instalação das vigas de sustentação da passarela</t>
  </si>
  <si>
    <t>Dias</t>
  </si>
  <si>
    <t>Horas</t>
  </si>
  <si>
    <t>92970</t>
  </si>
  <si>
    <t>DEMOLIÇÃO DE PAVIMENTAÇÃO ASFÁLTICA COM UTILIZAÇÃO DE MARTELO PERFURADOR, ESPESSURA ATÉ 15 CM, EXCLUSIVE CARGA E TRANSPORTE</t>
  </si>
  <si>
    <t>CALHA EM CHAPA DE AÇO GALVANIZADO NÚMERO 24, DESENVOLVIMENTO DE 33 CM, INCLUSO TRANSPORTE VERTICAL. AF_06/2016</t>
  </si>
  <si>
    <t>5.6</t>
  </si>
  <si>
    <t xml:space="preserve">Projeto arquitetônico prancha 02/03 </t>
  </si>
  <si>
    <t>COMP. 7</t>
  </si>
  <si>
    <t>COMP. 8</t>
  </si>
  <si>
    <r>
      <t xml:space="preserve">OBRA: </t>
    </r>
    <r>
      <rPr>
        <sz val="8"/>
        <color theme="1"/>
        <rFont val="Century Gothic"/>
        <family val="2"/>
      </rPr>
      <t>CONSTRUÇÃO DE PASSARELA COM COBERTURA</t>
    </r>
  </si>
  <si>
    <r>
      <t xml:space="preserve">LOCAL: </t>
    </r>
    <r>
      <rPr>
        <sz val="8"/>
        <color theme="1"/>
        <rFont val="Century Gothic"/>
        <family val="2"/>
      </rPr>
      <t>CENTRO, ITARANA - ES</t>
    </r>
  </si>
  <si>
    <t>MATHEUS SOFISTE TEIXEIRA</t>
  </si>
  <si>
    <t>ENG. CIVIL - CREA-ES 034017/D</t>
  </si>
  <si>
    <r>
      <t xml:space="preserve">OBRA: </t>
    </r>
    <r>
      <rPr>
        <sz val="8"/>
        <rFont val="Century Gothic"/>
        <family val="2"/>
      </rPr>
      <t>CONSTRUÇÃO DE PASSARELA COM COBERTURA</t>
    </r>
  </si>
  <si>
    <r>
      <t xml:space="preserve">LOCAL: </t>
    </r>
    <r>
      <rPr>
        <sz val="8"/>
        <rFont val="Century Gothic"/>
        <family val="2"/>
      </rPr>
      <t>CENTRO, ITARANA - ES</t>
    </r>
  </si>
  <si>
    <r>
      <t xml:space="preserve">REFERENCIAL: </t>
    </r>
    <r>
      <rPr>
        <sz val="8"/>
        <rFont val="Century Gothic"/>
        <family val="2"/>
      </rPr>
      <t>SINAPI</t>
    </r>
  </si>
  <si>
    <r>
      <rPr>
        <b/>
        <sz val="8"/>
        <rFont val="Century Gothic"/>
        <family val="2"/>
      </rPr>
      <t>BDI:</t>
    </r>
    <r>
      <rPr>
        <sz val="8"/>
        <rFont val="Century Gothic"/>
        <family val="2"/>
      </rPr>
      <t xml:space="preserve"> 28,50%</t>
    </r>
  </si>
  <si>
    <t>Guarda-corpo</t>
  </si>
  <si>
    <t>Placas de ancoragem</t>
  </si>
  <si>
    <t>Vigas de sustentação da passarela</t>
  </si>
  <si>
    <t>Estrutura da cobertura</t>
  </si>
  <si>
    <t>Superfície</t>
  </si>
  <si>
    <r>
      <t>Administração Central -</t>
    </r>
    <r>
      <rPr>
        <b/>
        <sz val="8"/>
        <rFont val="Century Gothic"/>
        <family val="2"/>
      </rPr>
      <t xml:space="preserve"> AC</t>
    </r>
  </si>
  <si>
    <r>
      <t>Riscos -</t>
    </r>
    <r>
      <rPr>
        <b/>
        <sz val="8"/>
        <rFont val="Century Gothic"/>
        <family val="2"/>
      </rPr>
      <t xml:space="preserve"> R</t>
    </r>
  </si>
  <si>
    <r>
      <t>Seguros e Garantias Contratuais -</t>
    </r>
    <r>
      <rPr>
        <b/>
        <sz val="8"/>
        <rFont val="Century Gothic"/>
        <family val="2"/>
      </rPr>
      <t xml:space="preserve"> S+G</t>
    </r>
  </si>
  <si>
    <r>
      <t xml:space="preserve">Despesas e Encargos Financeiros - </t>
    </r>
    <r>
      <rPr>
        <b/>
        <sz val="8"/>
        <rFont val="Century Gothic"/>
        <family val="2"/>
      </rPr>
      <t>DF</t>
    </r>
  </si>
  <si>
    <r>
      <t>Lucro -</t>
    </r>
    <r>
      <rPr>
        <b/>
        <sz val="8"/>
        <rFont val="Century Gothic"/>
        <family val="2"/>
      </rPr>
      <t xml:space="preserve"> L</t>
    </r>
  </si>
  <si>
    <r>
      <t xml:space="preserve">BDI=    </t>
    </r>
    <r>
      <rPr>
        <u/>
        <sz val="8"/>
        <rFont val="Century Gothic"/>
        <family val="2"/>
      </rPr>
      <t>(1+(AC+S+R+G))(1+DF)(1+L))</t>
    </r>
    <r>
      <rPr>
        <sz val="8"/>
        <rFont val="Century Gothic"/>
        <family val="2"/>
      </rPr>
      <t xml:space="preserve">  -1 =</t>
    </r>
  </si>
  <si>
    <t>PINTURA ESMALTE FOSCO, DUAS DEMAOS, SOBRE SUPERFICIE METALICA, INCLUSO UMA DEMAO DE FUNDO ANTICORROSIVO. UTILIZACAO DE REVOLVER ( AR-COMPRIMIDO)</t>
  </si>
  <si>
    <t xml:space="preserve">74145/001 </t>
  </si>
  <si>
    <t>7.8</t>
  </si>
  <si>
    <t>COMPOSIÇÕES ANALÍTICAS DE CUSTOS</t>
  </si>
  <si>
    <t>LUMINÁRIA ARANDELA TIPO TARTARUGA PARA 1 LÂMPADA LED - FORNECIMENTO E INSTALAÇÃO. AF_11/2017</t>
  </si>
  <si>
    <t>ELETRODUTO DE AÇO GALVANIZADO, CLASSE LEVE, DN 20 MM (3/4), APARENTE , INSTALADO EM TETO - FORNECIMENTO E INSTALAÇÃO. AF_11/2016_P</t>
  </si>
  <si>
    <t>ADMINISTRATIVO LOCAL</t>
  </si>
  <si>
    <t>Confome composição 9</t>
  </si>
  <si>
    <t>Projeto arquitetônico prancha 01/03 (demolição de calçada anexa a ponte)</t>
  </si>
  <si>
    <r>
      <rPr>
        <b/>
        <sz val="8"/>
        <rFont val="Century Gothic"/>
        <family val="2"/>
      </rPr>
      <t>ENCARGOS SOCIAIS DES.</t>
    </r>
    <r>
      <rPr>
        <sz val="8"/>
        <rFont val="Century Gothic"/>
        <family val="2"/>
      </rPr>
      <t>: 87,24% (HORA), 49,724% (MÊS)</t>
    </r>
  </si>
  <si>
    <t>IMPERMEABILIZACAO DE SUPERFICIE COM ASFALTO ELASTOMERICO, INCLUSOS PRIMER E VEU DE FIBRA DE VIDRO.</t>
  </si>
  <si>
    <t>73762/004</t>
  </si>
  <si>
    <t xml:space="preserve">CAIXA DE PASSAGEM 30X30X40 COM TAMPA E DRENO BRITA </t>
  </si>
  <si>
    <t>PISO CIMENTADO, TRAÇO 1:3 (CIMENTO E AREIA), ACABAMENTO LISO, ESPESSURA 2,0 CM, PREPARO MECÂNICO DA ARGAMASSA. AF_06/2018</t>
  </si>
  <si>
    <t xml:space="preserve">PLANTIO DE GRAMA EM PLACAS. AF_05/2018 </t>
  </si>
  <si>
    <t>SOLDA DE TOPO EM CHAPA/PERFIL/TUBO DE AÇO CHANFRADO, ESPESSURA=1/4'' AF_06/2018</t>
  </si>
  <si>
    <t>FORNECIMENTO E INSTALAÇÃO DE PILAR METÁLICO INCLUSIVE ANCORAGEM (ITEM 1 - SUPORTE 1)</t>
  </si>
  <si>
    <t>FORNECIMENTO E INSTALAÇÃO DE VIGA METÁLICA INCLUSIVE ANCORAGEM (ITEM 2 - SUPORTE 2)</t>
  </si>
  <si>
    <t>FORNECIMENTO E INSTALAÇÃO DE VIGA METÁLICA INCLUSIVE ANCORAGEM (ITEM 3 - SUPORTE 3)</t>
  </si>
  <si>
    <t>FORNECIMENTO E INSTALAÇÃO DE PLATAFORMA METÁLICA (ITEM 4 - PLATAFORMA)</t>
  </si>
  <si>
    <t>FORNECIMENTO E INSTALAÇÃO DE TERÇAS PARA COBERTURA (ITEM 7 - TERÇA)</t>
  </si>
  <si>
    <t>CHAPA DE ACO GROSSA, ASTM A36, E = 5/8 " (15,88 MM) 124,49 KG/M2 (0,39 x 0,40m - ITEM  1.3)</t>
  </si>
  <si>
    <t>CHAPA DE ACO GROSSA, ASTM A36, E = 1/4 " (6,35 MM) 49,79 KG/M2 (enrijecedores - ITEM 1.4)</t>
  </si>
  <si>
    <t>CHAPA DE ACO GROSSA, ASTM A36, E = 5/8 " (15,88 MM) 124,49 KG/M2 (0,28 x 0,30m - ITEM 2.2)</t>
  </si>
  <si>
    <t>CHAPA DE ACO GROSSA, ASTM A36, E = 1/4 " (6,35 MM) 49,79 KG/M2 (enrijecedores - ITEM 2.3)</t>
  </si>
  <si>
    <t>CHAPA DE ACO GROSSA, ASTM A36, E = 5/8 " (15,88 MM) 124,49 KG/M2 (0,30 x 0,58m - ITEM 3.3)</t>
  </si>
  <si>
    <t>CHAPA DE ACO GROSSA, ASTM A36, E = 1/4 " (6,35 MM) 49,79 KG/M2 (enrijecedores - ITEM 3.4)</t>
  </si>
  <si>
    <t>CHAPA DE ACO GROSSA, ASTM A36, E = 1/4 " (6,35 MM) 49,79 KG/M2 (enrijecedores - ITEM 3.5)</t>
  </si>
  <si>
    <t>GUARDA-CORPO EM TUBO DE ACO GALVANIZADO (TIPO 1)</t>
  </si>
  <si>
    <t>TUBO ACO GALVANIZADO COM COSTURA, CLASSE MEDIA, DN 1.1/2", E = *3,25* MM, PESO *3,61* KG/M (NBR 5580) - (ITEM 5.1)</t>
  </si>
  <si>
    <t>TUBO ACO GALVANIZADO COM COSTURA, CLASSE MEDIA, DN 3/4", E = *2,65* MM, PESO *1,58* KG/M (NBR 5580) - (ITEM 5.2)</t>
  </si>
  <si>
    <t>GUARDA-CORPO EM TUBO DE ACO GALVANIZADO (TIPO 2)</t>
  </si>
  <si>
    <t>TUBO ACO GALVANIZADO COM COSTURA, CLASSE MEDIA, DN 1.1/2", E = *3,25* MM, PESO *3,61* KG/M (NBR 5580) - (ITEM 6.1)</t>
  </si>
  <si>
    <t>TUBO ACO GALVANIZADO COM COSTURA, CLASSE MEDIA, DN 3/4", E = *2,65* MM, PESO *1,58* KG/M (NBR 5580) - (ITEM 6.2)</t>
  </si>
  <si>
    <t>CHAPA DE ACO GROSSA, ASTM A36, E = 1/4 " (6,35 MM) 49,79 KG/M2 (ITEM 6.3)</t>
  </si>
  <si>
    <t>MEMORIAIS DESCRITIVOS</t>
  </si>
  <si>
    <t>LOCACAO DE CONTAINER 2,30 X 6,00 M, ALT. 2,50 M, COM 1 SANITARIO, PARA ESCRITORIO, COMPLETO, SEM DIVISORIAS INTERNAS</t>
  </si>
  <si>
    <t>10775</t>
  </si>
  <si>
    <t>Mês</t>
  </si>
  <si>
    <t>COMP.</t>
  </si>
  <si>
    <t>ENCARREGADO GERAL COM ENCARGOS COMPLEMENTARES</t>
  </si>
  <si>
    <t>CARGA E DESCARGA MECANIZADAS DE ENTULHO EM CAMINHAO BASCULANTE 6 M3</t>
  </si>
  <si>
    <t>72898</t>
  </si>
  <si>
    <t>2.4</t>
  </si>
  <si>
    <t>TRANSPORTE DE ENTULHO COM CAMINHAO BASCULANTE 6 M3, RODOVIA PAVIMENTADA, DMT 0,5 A 1,0 KM</t>
  </si>
  <si>
    <t>72900</t>
  </si>
  <si>
    <t>KIT CAVALETE PARA MEDIÇÃO DE ÁGUA - ENTRADA PRINCIPAL, EM PVC SOLDÁVEL DN 20 (½") FORNECIMENTO E INSTALAÇÃO (EXCLUSIVE HIDRÔMETRO). AF_11/2016</t>
  </si>
  <si>
    <t>95634</t>
  </si>
  <si>
    <t>HIDRÔMETRO DN 20 (½), 1,5 M³/H FORNECIMENTO E INSTALAÇÃO. AF_11/2016</t>
  </si>
  <si>
    <t>95673</t>
  </si>
  <si>
    <t>Conforme Cronograma físico-financeiro</t>
  </si>
  <si>
    <t>Somatório do item 2.1 e 2.2</t>
  </si>
  <si>
    <t>Projeto Estrutural prancha 03/03 (Item 3)</t>
  </si>
  <si>
    <t>Projeto Estrutural prancha 03/03 (Item 2)</t>
  </si>
  <si>
    <t>Projeto Estrutural prancha 03/03 (Item 4)</t>
  </si>
  <si>
    <t>Projeto Estrutural prancha 03/03 (Item 1)</t>
  </si>
  <si>
    <t>Projeto Estrutural prancha 02/03 (Item 7)</t>
  </si>
  <si>
    <t>Projeto arquitetônico prancha 01/03 (realocação do poste)</t>
  </si>
  <si>
    <t>Projeto arquitetônico prancha 02/03 (lado sem a passarela)</t>
  </si>
  <si>
    <t>Projeto arquitetônico prancha 02/03 (Item 5.0)</t>
  </si>
  <si>
    <t>Projeto arquitetônico prancha 02/03 (Item 6.0)</t>
  </si>
  <si>
    <t>Plataforma</t>
  </si>
  <si>
    <t>Projeto arquitetônico prancha 03/03 (Item 4.0)</t>
  </si>
  <si>
    <t>Projeto arquitetônico prancha 03/03 (Item 2.2)</t>
  </si>
  <si>
    <t>Projeto arquitetônico prancha 03/03 (Item 3.3)</t>
  </si>
  <si>
    <t>Projeto arquitetônico prancha 03/03 (Item 1.3)</t>
  </si>
  <si>
    <t>Projeto arquitetônico prancha 03/03 (Item 2.1)</t>
  </si>
  <si>
    <t>Projeto arquitetônico prancha 03/03 (Item 3.1)</t>
  </si>
  <si>
    <t>Projeto arquitetônico prancha 03/03 (Item 1.1)</t>
  </si>
  <si>
    <t>Projeto arquitetônico prancha 03/03 (Item 1.2)</t>
  </si>
  <si>
    <t>Projeto arquitetônico prancha 02/03 (Item 7.1)</t>
  </si>
  <si>
    <t>Projeto arquitetônico prancha 02/03 (ripas)</t>
  </si>
  <si>
    <t>Item 2.1</t>
  </si>
  <si>
    <t>Espessura</t>
  </si>
  <si>
    <t>Item 2.2</t>
  </si>
  <si>
    <r>
      <t xml:space="preserve">DATA-BASE: </t>
    </r>
    <r>
      <rPr>
        <sz val="8"/>
        <rFont val="Century Gothic"/>
        <family val="2"/>
      </rPr>
      <t>03/2019</t>
    </r>
  </si>
  <si>
    <t>CHAPA DE ACO GROSSA, ASTM A36, E = 1/4 " (6,35 MM) 49,79 KG/M2 (enrijecedores - ITEM 2.4)</t>
  </si>
  <si>
    <t>* Memória de cálculo:</t>
  </si>
  <si>
    <t>88315:</t>
  </si>
  <si>
    <t>88316:</t>
  </si>
  <si>
    <t>98746:</t>
  </si>
  <si>
    <t>Enrijecedores com a chapa e perfil: (150 + 118) x 6 = 1608 mm</t>
  </si>
  <si>
    <t>1330:</t>
  </si>
  <si>
    <t>40536:</t>
  </si>
  <si>
    <t>1334:</t>
  </si>
  <si>
    <t>Considerado 6,15 horas para locação, preparo e chumbamento de cada pilar;</t>
  </si>
  <si>
    <t>Considerado 2,60 horas para locação, preparo e chumbamento de cada viga;</t>
  </si>
  <si>
    <t>Considerado 3,80 horas para locação, preparo e chumbamento de cada viga;</t>
  </si>
  <si>
    <t>mm</t>
  </si>
  <si>
    <t xml:space="preserve">Ponta do perfil horizontal (viga) com a chapa: 150 + 150 + 120 + 120 = </t>
  </si>
  <si>
    <t xml:space="preserve">Ponta do perfil horizontal com o vertical: 150 + 150 + 120 + 120 = </t>
  </si>
  <si>
    <t xml:space="preserve">Ponta do arco com perfil horizontal : 150 + 150 + 120 + 120 = </t>
  </si>
  <si>
    <t xml:space="preserve">Base do perfil vertical com a chapa: 150 + 150 + 120 + 120 = </t>
  </si>
  <si>
    <t xml:space="preserve">Enrijecedores com a chapa e perfil: (150 + 118) x 4 = </t>
  </si>
  <si>
    <t xml:space="preserve">Chapa de ancoragem, Item 1.3 (área x peso/m²): 0,39 x 0,40 x 124,49 = </t>
  </si>
  <si>
    <t>MERC.:</t>
  </si>
  <si>
    <t xml:space="preserve">Chumbador químico, item 1.5 (quantidade) = </t>
  </si>
  <si>
    <t>und</t>
  </si>
  <si>
    <t>Peça de fechamento do perfil horizontal (viga): 150 + 150 + 120 + 120 = 540 mm</t>
  </si>
  <si>
    <t xml:space="preserve">Chapa de ancoragem, item 2.2 (área x peso/m²): 0,28 x 0,30 x 124,49 = </t>
  </si>
  <si>
    <t xml:space="preserve">Peça de fechamento, Item 2.4 (área x peso/m²): 0,018 m² x 49,79 = </t>
  </si>
  <si>
    <t xml:space="preserve">Pontas da mão francesa com a viga e com a chapa: 540 + 540 = </t>
  </si>
  <si>
    <t>Enrijecedores com a chapa e perfil: (150 + 118) x 8 =</t>
  </si>
  <si>
    <t xml:space="preserve">Chapa de ancoragem, item 3.3 (área x peso/m²): 0,30 x 0,58 x 124,49 = </t>
  </si>
  <si>
    <t xml:space="preserve">Peça de fechamento, Item 3.5 (área x peso/m²): 0,018 m² x 49,79 = </t>
  </si>
  <si>
    <t xml:space="preserve">Chumbador químico, item 2.5 (quantidade) = </t>
  </si>
  <si>
    <t xml:space="preserve">Chumbador químico, item 3.6 (quantidade) = </t>
  </si>
  <si>
    <t xml:space="preserve">Perfil de apoio, Item 4.1 (compr. x peso/m): 53,876 x 10,233 = </t>
  </si>
  <si>
    <t>CHAPA DE ALUMINIO, E = 4 MM, L = 1000 MM - 10,8 KG/M2 (LIGA 1200 - H14) (ITEM 4.2)</t>
  </si>
  <si>
    <t>CANTONEIRA ACO ABAS IGUAIS (QUALQUER BITOLA), ESPESSURA ENTRE 1/8" E 1/4" (ITEM 4.3)</t>
  </si>
  <si>
    <t>11123:</t>
  </si>
  <si>
    <t xml:space="preserve">Chapa de piso, Item 4.2 (área. x peso/m²): 1,28 x 25,913 x 10,8 = </t>
  </si>
  <si>
    <t>4777:</t>
  </si>
  <si>
    <t>CENTO</t>
  </si>
  <si>
    <t>PARAFUSO ZINCADO, AUTOBROCANTE, FLANGEADO, 4,2 X 19 MM (ITEM 4.4)</t>
  </si>
  <si>
    <t>40547:</t>
  </si>
  <si>
    <t xml:space="preserve">Entre os perfis "U": 1698 x 2 = </t>
  </si>
  <si>
    <t>Entre os perfis "U": 2144 x 2 =</t>
  </si>
  <si>
    <t xml:space="preserve">Entre os perfis "U": 2144 x 2 = </t>
  </si>
  <si>
    <t xml:space="preserve">Entre os perfis "U": 888 x 2 = </t>
  </si>
  <si>
    <t>Perfis "U" com a viga de apoio: ((120+120+60+60) x 2) x 13 =</t>
  </si>
  <si>
    <t xml:space="preserve">Viga, Item 1.2 (compr. x peso/m x 2): 1,698 x 10,233 x 2 = </t>
  </si>
  <si>
    <t xml:space="preserve">Viga, Item 2.1 (compr. x peso/m x 2): 2,144 x 10,233 x 2 = </t>
  </si>
  <si>
    <t xml:space="preserve">Viga, Item 3.1 (compr. x peso/m x 2): 2,144 x 10,233 x 2 = </t>
  </si>
  <si>
    <t xml:space="preserve">Mão francesa, Item 3.2 (compr. x peso/m x 2): 0,888 x 10,233 x 2 = </t>
  </si>
  <si>
    <t xml:space="preserve">Entre os perfis "U": 3750 x 2 = </t>
  </si>
  <si>
    <t xml:space="preserve">Terça, Item 7.1 (compr. x peso/m x 2): 3,75 x 3,912 x 2 = </t>
  </si>
  <si>
    <t>Considerado 1,00 hora para locação, preparo e montagem de cada peça;</t>
  </si>
  <si>
    <t>Cant. de travamento, item 4.3 (compr. x quant. peso/m): 1,29 x 52 x 3,66</t>
  </si>
  <si>
    <t>Quant. = Comprimento / espaçamento = 25,913 / 0,50 =</t>
  </si>
  <si>
    <t xml:space="preserve">Cantoneira com o perfil de apoio: 50,8 x 8 x 52 = </t>
  </si>
  <si>
    <t>7697:</t>
  </si>
  <si>
    <t>7700:</t>
  </si>
  <si>
    <t>Considerado 18,93 horas para locação, preparo e montagem;</t>
  </si>
  <si>
    <t>Considerado 0,28 horas para locação, preparo e montagem;</t>
  </si>
  <si>
    <t xml:space="preserve">Tubo (3/4"), Item 6.2 (compr.): </t>
  </si>
  <si>
    <t>Tubo (1.1/2"), Item 6.1 (compr.): (27,00 + 24 x 1,10) / 27,00</t>
  </si>
  <si>
    <t>Parafuso, Item 6.4 (quantidade): 4 x 23 / 27</t>
  </si>
  <si>
    <t>Considerado 20,82 horas para locação, preparo, montagem e chumbamento;</t>
  </si>
  <si>
    <t>Considerado 0,31 horas para locação, preparo, montagem e chumbamento;</t>
  </si>
  <si>
    <r>
      <t xml:space="preserve">Projeto elétrico prancha 01/01 - </t>
    </r>
    <r>
      <rPr>
        <b/>
        <sz val="8"/>
        <rFont val="Century Gothic"/>
        <family val="2"/>
      </rPr>
      <t>Eletroduto vertical que desce do rele fotoeletrico</t>
    </r>
  </si>
  <si>
    <t>Chapa de base, Item 6.3 (área x peso x quant.): 0,15 x 0,15 x 49,79 x 24 / 27</t>
  </si>
  <si>
    <t>PERFIL "U" ENRIJECIDO DE ACO GALVANIZADO, DOBRADO, 150 X 60 X 20 MM, E = 4,75 MM (PEÇA COM 6.000MM DE COMPRIMENTO E PESO DE 61,40KG) (PILAR E ARCO - ITEM 1.1 / VIGA - ITEM 1.2)</t>
  </si>
  <si>
    <t>PERFIL "U" ENRIJECIDO DE ACO GALVANIZADO, DOBRADO, 150 X 60 X 20 MM, E = 4,75 MM (PEÇA COM 6.000MM DE COMPRIMENTO E PESO DE 61,40KG) (Viga - ITEM 2.1)</t>
  </si>
  <si>
    <t>PERFIL "U" ENRIJECIDO DE ACO GALVANIZADO, DOBRADO, 150 X 60 X 20 MM, E = 4,75 MM (PEÇA COM 6.000MM DE COMPRIMENTO E PESO DE 61,40KG)  (Viga - ITEM 3.1 E 3.2)</t>
  </si>
  <si>
    <t>PERFIL "U" ENRIJECIDO DE ACO GALVANIZADO, DOBRADO, 150 X 60 X 20 MM, E = 4,75 MM (PEÇA COM 6.000MM DE COMPRIMENTO E PESO DE 61,40KG (plataforma - ITEM 4.1)</t>
  </si>
  <si>
    <t>PERFIL "U" ENRIJECIDO DE ACO GALVANIZADO, DOBRADO, 100 X 50 X 17, E = 2,25 MM (PEÇA COM 6.000MM DE COMPRIMENTO E PESO DE 23,47KG) (Terça - ITEM 7.1)</t>
  </si>
  <si>
    <t>CHUMBADOR DE EXPANSÃO DN 3/4" X 100</t>
  </si>
  <si>
    <t>ART'S</t>
  </si>
  <si>
    <t>CHUMBADOR RB Ø 3/4 (ITEM 1.5)</t>
  </si>
  <si>
    <t>HASTE ROSCADA INOX 316 3/4 X 250 C/P E ARRUELA (ITEM 1.5)</t>
  </si>
  <si>
    <t xml:space="preserve">Ponta do perfil horizontal com o vertical: (100 + 100 + 100 + 100) x 2 = </t>
  </si>
  <si>
    <t>Considerado 46,35 horas para locação, preparo e montagem da plataforma;</t>
  </si>
  <si>
    <t xml:space="preserve">Pilar + arco, item 1.1 (compr. x peso/m x 2): 5,608 x 10,233 x 2 = </t>
  </si>
  <si>
    <t xml:space="preserve">Entre os perfis "U": 5608 x 2 = </t>
  </si>
  <si>
    <t>Enrijecedores, Item 1.4 (área x peso/m² x quantidade): 0,013508 m² x 49,79 x 2 =</t>
  </si>
  <si>
    <t xml:space="preserve">Enrijecedores, Item 2.3 (área x peso/m² x quantidade): 0,013508 m² x 49,79 x 3 = </t>
  </si>
  <si>
    <t xml:space="preserve">Enrijecedores, Item 3.4 (área x peso/m² x quantidade): 0,013508 m² x 49,79 x 4 = </t>
  </si>
  <si>
    <t xml:space="preserve">Fixação da chapa com o perfil e cantoneira, item 4.4 (compr./espaçamento): </t>
  </si>
  <si>
    <t>Base dos tubos verticais (1.1/2"): 0,8773 (circunf.) x 23 (unid.) / 25,95 (compr.)</t>
  </si>
  <si>
    <t>Ponta dos tubos horizontais (1.1/2"): 0,8773 (circunf.) x 2 (pontas) x 22 (vãos) / 25,95 (compr.)</t>
  </si>
  <si>
    <t>Ponta dos tubos horizontais (3/4"): 0,0598 (circunf.) x 2 (pontas) x 6 (quant.) x 22 (vãos) / 25,95 (compr.)</t>
  </si>
  <si>
    <t>Tubo (1.1/2"), Item 5.1 (compr.): (25,95 (horiz.) + 23 (vert.) x 1,10) / 25,95</t>
  </si>
  <si>
    <t>Tubo (3/4"), Item 5.2 (compr.):</t>
  </si>
  <si>
    <t>Ponta dos tubos horizontais (1.1/2"): 0,8773 (circunf.) x 2 (pontas) x 23 (vãos) / 27 (compr.)</t>
  </si>
  <si>
    <t>Ponta dos tubos horizontais (3/4"): 0,0598 (circunf.) x 2 (pontas) x 6 (quant.) x 23 (vãos) / 27 (compr.)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</si>
</sst>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_(* \(#,##0.00\);_(* \-??_);_(@_)"/>
    <numFmt numFmtId="166" formatCode="_-&quot;€ &quot;* #,##0.00_-;&quot;-€ &quot;* #,##0.00_-;_-&quot;€ &quot;* \-??_-;_-@_-"/>
    <numFmt numFmtId="167" formatCode="_(&quot;R$ &quot;* #,##0.00_);_(&quot;R$ &quot;* \(#,##0.00\);_(&quot;R$ &quot;* &quot;-&quot;??_);_(@_)"/>
    <numFmt numFmtId="168" formatCode="#,##0.00_ ;\-#,##0.00\ "/>
    <numFmt numFmtId="169" formatCode="#,##0.0000"/>
    <numFmt numFmtId="170" formatCode="0.0%"/>
    <numFmt numFmtId="171" formatCode="_(* #,##0.0000_);_(* \(#,##0.0000\);_(* &quot;-&quot;??_);_(@_)"/>
    <numFmt numFmtId="172" formatCode="_(* #,##0.000_);_(* \(#,##0.000\);_(* &quot;-&quot;??_);_(@_)"/>
    <numFmt numFmtId="173" formatCode="_-* #,##0.0000_-;\-* #,##0.0000_-;_-* &quot;-&quot;????_-;_-@_-"/>
    <numFmt numFmtId="174" formatCode="0.00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1"/>
      <color indexed="9"/>
      <name val="Calibri"/>
      <family val="2"/>
    </font>
    <font>
      <sz val="8"/>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sz val="10"/>
      <name val="Arial"/>
      <family val="2"/>
    </font>
    <font>
      <b/>
      <sz val="14"/>
      <color theme="1"/>
      <name val="Century Gothic"/>
      <family val="2"/>
    </font>
    <font>
      <b/>
      <sz val="10"/>
      <name val="Century Gothic"/>
      <family val="2"/>
    </font>
    <font>
      <sz val="10"/>
      <name val="Century Gothic"/>
      <family val="2"/>
    </font>
    <font>
      <b/>
      <sz val="16"/>
      <name val="Century Gothic"/>
      <family val="2"/>
    </font>
    <font>
      <sz val="14"/>
      <name val="Century Gothic"/>
      <family val="2"/>
    </font>
    <font>
      <sz val="8"/>
      <name val="Century Gothic"/>
      <family val="2"/>
    </font>
    <font>
      <b/>
      <sz val="8"/>
      <name val="Century Gothic"/>
      <family val="2"/>
    </font>
    <font>
      <sz val="8"/>
      <name val="Arial"/>
      <family val="2"/>
    </font>
    <font>
      <b/>
      <sz val="14"/>
      <name val="Century Gothic"/>
      <family val="2"/>
    </font>
    <font>
      <sz val="8"/>
      <color theme="1"/>
      <name val="Century Gothic"/>
      <family val="2"/>
    </font>
    <font>
      <b/>
      <sz val="8"/>
      <color theme="1"/>
      <name val="Century Gothic"/>
      <family val="2"/>
    </font>
    <font>
      <sz val="8"/>
      <color rgb="FF000000"/>
      <name val="Century Gothic"/>
      <family val="2"/>
    </font>
    <font>
      <b/>
      <sz val="8"/>
      <color rgb="FF000000"/>
      <name val="Century Gothic"/>
      <family val="2"/>
    </font>
    <font>
      <sz val="7"/>
      <name val="Century Gothic"/>
      <family val="2"/>
    </font>
    <font>
      <b/>
      <i/>
      <sz val="8"/>
      <name val="Century Gothic"/>
      <family val="2"/>
    </font>
    <font>
      <b/>
      <shadow/>
      <sz val="8"/>
      <name val="Century Gothic"/>
      <family val="2"/>
    </font>
    <font>
      <sz val="12"/>
      <name val="Century Gothic"/>
      <family val="2"/>
    </font>
    <font>
      <b/>
      <sz val="12"/>
      <color indexed="8"/>
      <name val="Arial"/>
      <family val="2"/>
    </font>
    <font>
      <sz val="12"/>
      <color indexed="8"/>
      <name val="Arial"/>
      <family val="2"/>
    </font>
    <font>
      <b/>
      <sz val="10"/>
      <color indexed="8"/>
      <name val="Arial"/>
      <family val="2"/>
    </font>
    <font>
      <sz val="10"/>
      <color indexed="8"/>
      <name val="Arial"/>
      <family val="2"/>
    </font>
    <font>
      <sz val="3"/>
      <name val="Arial"/>
      <family val="2"/>
    </font>
    <font>
      <b/>
      <sz val="10"/>
      <color indexed="10"/>
      <name val="Arial"/>
      <family val="2"/>
    </font>
    <font>
      <sz val="10"/>
      <color indexed="8"/>
      <name val="Calibri"/>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
      <sz val="11"/>
      <name val="Arial"/>
      <family val="1"/>
    </font>
    <font>
      <b/>
      <sz val="8"/>
      <color indexed="8"/>
      <name val="Century Gothic"/>
      <family val="2"/>
    </font>
    <font>
      <sz val="8"/>
      <color indexed="8"/>
      <name val="Century Gothic"/>
      <family val="2"/>
    </font>
    <font>
      <i/>
      <sz val="8"/>
      <name val="Century Gothic"/>
      <family val="2"/>
    </font>
    <font>
      <u/>
      <sz val="8"/>
      <name val="Century Gothic"/>
      <family val="2"/>
    </font>
    <font>
      <b/>
      <sz val="12"/>
      <name val="Century Gothic"/>
      <family val="2"/>
    </font>
    <font>
      <b/>
      <sz val="12"/>
      <color indexed="8"/>
      <name val="Century Gothic"/>
      <family val="2"/>
    </font>
    <font>
      <sz val="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rgb="FFF2F2F2"/>
        <bgColor rgb="FF000000"/>
      </patternFill>
    </fill>
    <fill>
      <patternFill patternType="solid">
        <fgColor theme="0" tint="-0.14999847407452621"/>
        <bgColor rgb="FF000000"/>
      </patternFill>
    </fill>
    <fill>
      <patternFill patternType="solid">
        <fgColor theme="0" tint="-4.9989318521683403E-2"/>
        <bgColor indexed="64"/>
      </patternFill>
    </fill>
    <fill>
      <patternFill patternType="solid">
        <fgColor indexed="26"/>
        <bgColor indexed="64"/>
      </patternFill>
    </fill>
    <fill>
      <patternFill patternType="solid">
        <fgColor indexed="55"/>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1">
    <xf numFmtId="0" fontId="0" fillId="0" borderId="0"/>
    <xf numFmtId="164" fontId="6" fillId="0" borderId="0" applyFont="0" applyFill="0" applyBorder="0" applyAlignment="0" applyProtection="0"/>
    <xf numFmtId="164" fontId="8" fillId="0" borderId="0" applyFont="0" applyFill="0" applyBorder="0" applyAlignment="0" applyProtection="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1" applyNumberFormat="0" applyFont="0" applyAlignment="0">
      <alignment horizontal="left" vertical="top" indent="1"/>
    </xf>
    <xf numFmtId="0" fontId="12" fillId="3" borderId="0" applyNumberFormat="0" applyBorder="0" applyAlignment="0" applyProtection="0"/>
    <xf numFmtId="0" fontId="13" fillId="20" borderId="10" applyNumberFormat="0" applyAlignment="0" applyProtection="0"/>
    <xf numFmtId="0" fontId="14" fillId="21" borderId="11" applyNumberFormat="0" applyAlignment="0" applyProtection="0"/>
    <xf numFmtId="165" fontId="8" fillId="0" borderId="0" applyFill="0" applyBorder="0" applyAlignment="0" applyProtection="0"/>
    <xf numFmtId="166" fontId="8"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7" borderId="10" applyNumberFormat="0" applyAlignment="0" applyProtection="0"/>
    <xf numFmtId="0" fontId="21" fillId="0" borderId="15" applyNumberFormat="0" applyFill="0" applyAlignment="0" applyProtection="0"/>
    <xf numFmtId="167" fontId="9" fillId="0" borderId="0" applyFont="0" applyFill="0" applyBorder="0" applyAlignment="0" applyProtection="0"/>
    <xf numFmtId="0" fontId="22" fillId="22" borderId="0" applyNumberFormat="0" applyBorder="0" applyAlignment="0" applyProtection="0"/>
    <xf numFmtId="0" fontId="9" fillId="0" borderId="0"/>
    <xf numFmtId="0" fontId="8" fillId="23" borderId="16" applyNumberFormat="0" applyFont="0" applyAlignment="0" applyProtection="0"/>
    <xf numFmtId="0" fontId="23" fillId="20" borderId="17" applyNumberFormat="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4"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2" applyNumberFormat="0" applyFill="0" applyAlignment="0" applyProtection="0"/>
    <xf numFmtId="0" fontId="25" fillId="0" borderId="0" applyNumberForma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ill="0" applyBorder="0" applyAlignment="0" applyProtection="0"/>
    <xf numFmtId="166" fontId="6" fillId="0" borderId="0" applyFill="0" applyBorder="0" applyAlignment="0" applyProtection="0"/>
    <xf numFmtId="0" fontId="6" fillId="23" borderId="16" applyNumberFormat="0" applyFont="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7" fillId="0" borderId="0" applyFont="0" applyFill="0" applyBorder="0" applyAlignment="0" applyProtection="0"/>
    <xf numFmtId="0" fontId="6" fillId="0" borderId="0"/>
    <xf numFmtId="0" fontId="2" fillId="0" borderId="0"/>
    <xf numFmtId="167" fontId="6" fillId="0" borderId="0" applyFont="0" applyFill="0" applyBorder="0" applyAlignment="0" applyProtection="0"/>
    <xf numFmtId="43" fontId="2" fillId="0" borderId="0" applyFont="0" applyFill="0" applyBorder="0" applyAlignment="0" applyProtection="0"/>
    <xf numFmtId="0" fontId="6" fillId="0" borderId="0"/>
    <xf numFmtId="0" fontId="1" fillId="0" borderId="0"/>
    <xf numFmtId="9" fontId="9" fillId="0" borderId="0" applyFont="0" applyFill="0" applyBorder="0" applyAlignment="0" applyProtection="0"/>
    <xf numFmtId="0" fontId="57" fillId="0" borderId="0"/>
    <xf numFmtId="0" fontId="9" fillId="0" borderId="0"/>
  </cellStyleXfs>
  <cellXfs count="347">
    <xf numFmtId="0" fontId="0" fillId="0" borderId="0" xfId="0"/>
    <xf numFmtId="4" fontId="0" fillId="0" borderId="0" xfId="0" applyNumberFormat="1" applyAlignment="1">
      <alignment horizontal="center" vertical="center"/>
    </xf>
    <xf numFmtId="4" fontId="8" fillId="0" borderId="4" xfId="0" applyNumberFormat="1" applyFont="1" applyBorder="1" applyAlignment="1">
      <alignment horizontal="center" vertical="center"/>
    </xf>
    <xf numFmtId="4" fontId="26" fillId="0" borderId="0" xfId="0" applyNumberFormat="1" applyFont="1" applyFill="1" applyAlignment="1">
      <alignment horizontal="center" vertical="center"/>
    </xf>
    <xf numFmtId="4" fontId="7" fillId="0" borderId="0" xfId="0" applyNumberFormat="1" applyFont="1" applyFill="1" applyAlignment="1">
      <alignment horizontal="center" vertical="center"/>
    </xf>
    <xf numFmtId="4" fontId="0" fillId="0" borderId="0" xfId="1" applyNumberFormat="1" applyFont="1" applyFill="1" applyAlignment="1">
      <alignment horizontal="center" vertical="center"/>
    </xf>
    <xf numFmtId="4" fontId="6" fillId="0" borderId="4" xfId="0" applyNumberFormat="1" applyFont="1" applyBorder="1" applyAlignment="1">
      <alignment horizontal="center" vertical="center"/>
    </xf>
    <xf numFmtId="4" fontId="0" fillId="0" borderId="0" xfId="0" applyNumberFormat="1" applyFill="1" applyAlignment="1">
      <alignment horizontal="center" vertical="center"/>
    </xf>
    <xf numFmtId="4" fontId="6" fillId="0" borderId="0" xfId="0" applyNumberFormat="1" applyFont="1" applyFill="1" applyAlignment="1">
      <alignment horizontal="center" vertical="center"/>
    </xf>
    <xf numFmtId="4" fontId="6" fillId="0" borderId="0" xfId="0" applyNumberFormat="1" applyFont="1" applyAlignment="1">
      <alignment horizontal="center" vertical="center"/>
    </xf>
    <xf numFmtId="4" fontId="6" fillId="24" borderId="0" xfId="0" applyNumberFormat="1" applyFont="1" applyFill="1" applyAlignment="1">
      <alignment horizontal="center" vertical="center"/>
    </xf>
    <xf numFmtId="4" fontId="6" fillId="24" borderId="4" xfId="0" applyNumberFormat="1" applyFont="1" applyFill="1" applyBorder="1" applyAlignment="1">
      <alignment horizontal="center" vertical="center"/>
    </xf>
    <xf numFmtId="4" fontId="26" fillId="24" borderId="0" xfId="0" applyNumberFormat="1" applyFont="1" applyFill="1" applyAlignment="1">
      <alignment horizontal="center" vertical="center"/>
    </xf>
    <xf numFmtId="4" fontId="7" fillId="24" borderId="0" xfId="0" applyNumberFormat="1" applyFont="1" applyFill="1" applyAlignment="1">
      <alignment horizontal="center" vertical="center"/>
    </xf>
    <xf numFmtId="4" fontId="0" fillId="24" borderId="0" xfId="0" applyNumberFormat="1" applyFill="1" applyAlignment="1">
      <alignment horizontal="center" vertical="center"/>
    </xf>
    <xf numFmtId="4" fontId="0" fillId="0" borderId="0" xfId="0" applyNumberFormat="1" applyBorder="1" applyAlignment="1">
      <alignment horizontal="center" vertical="center"/>
    </xf>
    <xf numFmtId="4" fontId="8" fillId="0" borderId="0" xfId="0" applyNumberFormat="1" applyFont="1" applyBorder="1" applyAlignment="1">
      <alignment horizontal="center" vertical="center"/>
    </xf>
    <xf numFmtId="0" fontId="0" fillId="24" borderId="0" xfId="0" applyFill="1" applyBorder="1"/>
    <xf numFmtId="0" fontId="30" fillId="24" borderId="0" xfId="0" applyFont="1" applyFill="1" applyBorder="1"/>
    <xf numFmtId="0" fontId="32" fillId="24" borderId="0" xfId="0" applyFont="1" applyFill="1" applyBorder="1" applyAlignment="1"/>
    <xf numFmtId="164" fontId="34" fillId="25" borderId="8" xfId="1" applyFont="1" applyFill="1" applyBorder="1" applyAlignment="1">
      <alignment horizontal="center" vertical="center"/>
    </xf>
    <xf numFmtId="4" fontId="33" fillId="0" borderId="8" xfId="1" applyNumberFormat="1" applyFont="1" applyFill="1" applyBorder="1" applyAlignment="1">
      <alignment horizontal="center" vertical="center"/>
    </xf>
    <xf numFmtId="4" fontId="35" fillId="24" borderId="0" xfId="0" applyNumberFormat="1" applyFont="1" applyFill="1" applyBorder="1" applyAlignment="1">
      <alignment horizontal="center" vertical="center"/>
    </xf>
    <xf numFmtId="4" fontId="35" fillId="24" borderId="0" xfId="1" applyNumberFormat="1" applyFont="1" applyFill="1" applyBorder="1" applyAlignment="1">
      <alignment horizontal="center" vertical="center"/>
    </xf>
    <xf numFmtId="164" fontId="34" fillId="24" borderId="0" xfId="1" applyFont="1" applyFill="1" applyBorder="1" applyAlignment="1">
      <alignment horizontal="right" vertical="center"/>
    </xf>
    <xf numFmtId="0" fontId="34" fillId="24" borderId="0" xfId="0" applyFont="1" applyFill="1" applyBorder="1" applyAlignment="1">
      <alignment vertical="center"/>
    </xf>
    <xf numFmtId="164" fontId="34" fillId="24" borderId="0" xfId="1" applyFont="1" applyFill="1" applyBorder="1" applyAlignment="1">
      <alignment horizontal="justify" vertical="center"/>
    </xf>
    <xf numFmtId="4" fontId="35" fillId="24" borderId="0" xfId="0" applyNumberFormat="1" applyFont="1" applyFill="1" applyBorder="1" applyAlignment="1">
      <alignment horizontal="justify" vertical="center" wrapText="1"/>
    </xf>
    <xf numFmtId="4" fontId="0" fillId="0" borderId="0" xfId="0" applyNumberFormat="1" applyFill="1" applyAlignment="1">
      <alignment horizontal="justify" vertical="center" wrapText="1"/>
    </xf>
    <xf numFmtId="0" fontId="0" fillId="0" borderId="0" xfId="0" applyBorder="1"/>
    <xf numFmtId="169" fontId="26" fillId="24" borderId="0" xfId="0" applyNumberFormat="1" applyFont="1" applyFill="1" applyAlignment="1">
      <alignment horizontal="center" vertical="center"/>
    </xf>
    <xf numFmtId="3" fontId="40" fillId="27" borderId="8" xfId="1" applyNumberFormat="1" applyFont="1" applyFill="1" applyBorder="1" applyAlignment="1">
      <alignment horizontal="center" vertical="center"/>
    </xf>
    <xf numFmtId="0" fontId="39" fillId="28" borderId="8" xfId="0" applyFont="1" applyFill="1" applyBorder="1" applyAlignment="1">
      <alignment horizontal="center" vertical="center"/>
    </xf>
    <xf numFmtId="0" fontId="39" fillId="0" borderId="8" xfId="0" applyFont="1" applyFill="1" applyBorder="1" applyAlignment="1">
      <alignment horizontal="center" vertical="center"/>
    </xf>
    <xf numFmtId="10" fontId="40" fillId="29" borderId="8" xfId="0" applyNumberFormat="1" applyFont="1" applyFill="1" applyBorder="1" applyAlignment="1">
      <alignment horizontal="right" vertical="center"/>
    </xf>
    <xf numFmtId="168" fontId="40" fillId="29" borderId="8" xfId="1" applyNumberFormat="1" applyFont="1" applyFill="1" applyBorder="1" applyAlignment="1">
      <alignment horizontal="right" vertical="center"/>
    </xf>
    <xf numFmtId="4" fontId="40" fillId="0" borderId="8" xfId="1" applyNumberFormat="1" applyFont="1" applyFill="1" applyBorder="1" applyAlignment="1">
      <alignment horizontal="right" vertical="center"/>
    </xf>
    <xf numFmtId="10" fontId="40" fillId="30" borderId="8" xfId="81" applyNumberFormat="1" applyFont="1" applyFill="1" applyBorder="1" applyAlignment="1">
      <alignment horizontal="right" vertical="center"/>
    </xf>
    <xf numFmtId="10" fontId="40" fillId="30" borderId="8" xfId="1" applyNumberFormat="1" applyFont="1" applyFill="1" applyBorder="1" applyAlignment="1">
      <alignment horizontal="right" vertical="center"/>
    </xf>
    <xf numFmtId="10" fontId="40" fillId="29" borderId="8" xfId="81" applyNumberFormat="1" applyFont="1" applyFill="1" applyBorder="1" applyAlignment="1">
      <alignment horizontal="right" vertical="center"/>
    </xf>
    <xf numFmtId="4" fontId="30" fillId="24" borderId="0" xfId="0" applyNumberFormat="1" applyFont="1" applyFill="1" applyBorder="1" applyAlignment="1">
      <alignment vertical="center" wrapText="1"/>
    </xf>
    <xf numFmtId="4" fontId="29" fillId="24" borderId="0" xfId="0" applyNumberFormat="1" applyFont="1" applyFill="1" applyBorder="1" applyAlignment="1">
      <alignment vertical="center" wrapText="1"/>
    </xf>
    <xf numFmtId="4" fontId="41" fillId="25" borderId="8" xfId="1" applyNumberFormat="1" applyFont="1" applyFill="1" applyBorder="1" applyAlignment="1">
      <alignment horizontal="center" vertical="center"/>
    </xf>
    <xf numFmtId="4" fontId="41" fillId="0" borderId="8" xfId="1" applyNumberFormat="1" applyFont="1" applyFill="1" applyBorder="1" applyAlignment="1">
      <alignment horizontal="right" vertical="center"/>
    </xf>
    <xf numFmtId="4" fontId="41" fillId="0" borderId="8" xfId="1" applyNumberFormat="1" applyFont="1" applyFill="1" applyBorder="1" applyAlignment="1">
      <alignment horizontal="center" vertical="center"/>
    </xf>
    <xf numFmtId="0" fontId="35" fillId="0" borderId="0" xfId="82" applyFont="1" applyFill="1"/>
    <xf numFmtId="0" fontId="33" fillId="0" borderId="0" xfId="82" applyFont="1" applyFill="1" applyBorder="1" applyAlignment="1">
      <alignment vertical="center"/>
    </xf>
    <xf numFmtId="49" fontId="34" fillId="26" borderId="8" xfId="82" applyNumberFormat="1" applyFont="1" applyFill="1" applyBorder="1" applyAlignment="1">
      <alignment horizontal="center" vertical="center" wrapText="1"/>
    </xf>
    <xf numFmtId="0" fontId="34" fillId="26" borderId="8" xfId="82" applyFont="1" applyFill="1" applyBorder="1" applyAlignment="1">
      <alignment horizontal="justify" vertical="center" wrapText="1"/>
    </xf>
    <xf numFmtId="0" fontId="34" fillId="26" borderId="8" xfId="82" applyFont="1" applyFill="1" applyBorder="1" applyAlignment="1">
      <alignment horizontal="center" vertical="center" wrapText="1"/>
    </xf>
    <xf numFmtId="0" fontId="33" fillId="26" borderId="7" xfId="82" applyFont="1" applyFill="1" applyBorder="1" applyAlignment="1">
      <alignment vertical="center"/>
    </xf>
    <xf numFmtId="0" fontId="33" fillId="26" borderId="9" xfId="82" applyFont="1" applyFill="1" applyBorder="1" applyAlignment="1">
      <alignment vertical="center"/>
    </xf>
    <xf numFmtId="0" fontId="33" fillId="30" borderId="6" xfId="82" applyFont="1" applyFill="1" applyBorder="1" applyAlignment="1">
      <alignment horizontal="center" vertical="center"/>
    </xf>
    <xf numFmtId="0" fontId="33" fillId="30" borderId="7" xfId="82" applyFont="1" applyFill="1" applyBorder="1" applyAlignment="1">
      <alignment horizontal="center" vertical="center"/>
    </xf>
    <xf numFmtId="49" fontId="33" fillId="24" borderId="8" xfId="82" applyNumberFormat="1" applyFont="1" applyFill="1" applyBorder="1" applyAlignment="1">
      <alignment horizontal="center" vertical="center" wrapText="1"/>
    </xf>
    <xf numFmtId="0" fontId="33" fillId="24" borderId="8" xfId="82" applyFont="1" applyFill="1" applyBorder="1" applyAlignment="1">
      <alignment horizontal="right" vertical="center"/>
    </xf>
    <xf numFmtId="2" fontId="33" fillId="24" borderId="7" xfId="82" applyNumberFormat="1" applyFont="1" applyFill="1" applyBorder="1" applyAlignment="1">
      <alignment horizontal="center"/>
    </xf>
    <xf numFmtId="2" fontId="33" fillId="24" borderId="7" xfId="82" applyNumberFormat="1" applyFont="1" applyFill="1" applyBorder="1" applyAlignment="1">
      <alignment horizontal="center" vertical="center"/>
    </xf>
    <xf numFmtId="0" fontId="33" fillId="30" borderId="9" xfId="82" applyFont="1" applyFill="1" applyBorder="1" applyAlignment="1">
      <alignment horizontal="center" vertical="center"/>
    </xf>
    <xf numFmtId="49" fontId="33" fillId="0" borderId="8" xfId="82" applyNumberFormat="1" applyFont="1" applyFill="1" applyBorder="1" applyAlignment="1">
      <alignment horizontal="center" vertical="center" wrapText="1"/>
    </xf>
    <xf numFmtId="0" fontId="33" fillId="0" borderId="8" xfId="82" applyFont="1" applyFill="1" applyBorder="1" applyAlignment="1">
      <alignment horizontal="right" vertical="center" wrapText="1"/>
    </xf>
    <xf numFmtId="2" fontId="33" fillId="0" borderId="7" xfId="82" applyNumberFormat="1" applyFont="1" applyFill="1" applyBorder="1" applyAlignment="1">
      <alignment horizontal="center" vertical="center"/>
    </xf>
    <xf numFmtId="2" fontId="33" fillId="0" borderId="9" xfId="82" applyNumberFormat="1" applyFont="1" applyFill="1" applyBorder="1" applyAlignment="1">
      <alignment horizontal="center" vertical="center"/>
    </xf>
    <xf numFmtId="0" fontId="33" fillId="30" borderId="8" xfId="82" applyFont="1" applyFill="1" applyBorder="1" applyAlignment="1">
      <alignment horizontal="center" vertical="center" wrapText="1"/>
    </xf>
    <xf numFmtId="0" fontId="35" fillId="0" borderId="0" xfId="82" applyFont="1" applyFill="1" applyBorder="1"/>
    <xf numFmtId="4" fontId="33" fillId="0" borderId="7" xfId="82" applyNumberFormat="1" applyFont="1" applyFill="1" applyBorder="1" applyAlignment="1">
      <alignment horizontal="center" vertical="center"/>
    </xf>
    <xf numFmtId="49" fontId="33" fillId="0" borderId="0" xfId="82" applyNumberFormat="1" applyFont="1" applyFill="1" applyBorder="1" applyAlignment="1">
      <alignment horizontal="center" vertical="center" wrapText="1"/>
    </xf>
    <xf numFmtId="0" fontId="33" fillId="0" borderId="0" xfId="82" applyFont="1" applyFill="1" applyBorder="1" applyAlignment="1">
      <alignment horizontal="justify" vertical="center" wrapText="1"/>
    </xf>
    <xf numFmtId="0" fontId="33" fillId="0" borderId="0" xfId="82" applyFont="1" applyFill="1" applyBorder="1" applyAlignment="1">
      <alignment horizontal="center" vertical="center" wrapText="1"/>
    </xf>
    <xf numFmtId="4" fontId="33" fillId="0" borderId="0" xfId="82" applyNumberFormat="1" applyFont="1" applyFill="1" applyBorder="1" applyAlignment="1">
      <alignment vertical="center"/>
    </xf>
    <xf numFmtId="164" fontId="33" fillId="0" borderId="0" xfId="55" applyNumberFormat="1" applyFont="1" applyFill="1" applyBorder="1" applyAlignment="1">
      <alignment vertical="center"/>
    </xf>
    <xf numFmtId="164" fontId="33" fillId="0" borderId="0" xfId="82" applyNumberFormat="1" applyFont="1" applyFill="1" applyBorder="1" applyAlignment="1">
      <alignment horizontal="center" vertical="center"/>
    </xf>
    <xf numFmtId="164" fontId="33" fillId="0" borderId="0" xfId="55" applyFont="1" applyFill="1" applyBorder="1" applyAlignment="1">
      <alignment horizontal="center" vertical="center" wrapText="1"/>
    </xf>
    <xf numFmtId="49" fontId="34" fillId="0" borderId="0" xfId="82" applyNumberFormat="1" applyFont="1" applyFill="1" applyBorder="1" applyAlignment="1">
      <alignment horizontal="center" vertical="center" wrapText="1"/>
    </xf>
    <xf numFmtId="0" fontId="34" fillId="0" borderId="0" xfId="82" applyFont="1" applyFill="1" applyBorder="1" applyAlignment="1">
      <alignment horizontal="justify" vertical="center" wrapText="1"/>
    </xf>
    <xf numFmtId="0" fontId="34" fillId="0" borderId="0" xfId="82" applyFont="1" applyFill="1" applyBorder="1" applyAlignment="1">
      <alignment horizontal="center" vertical="center" wrapText="1"/>
    </xf>
    <xf numFmtId="4" fontId="33" fillId="0" borderId="0" xfId="82" applyNumberFormat="1" applyFont="1" applyFill="1" applyBorder="1" applyAlignment="1">
      <alignment horizontal="center" vertical="center"/>
    </xf>
    <xf numFmtId="164" fontId="33" fillId="0" borderId="0" xfId="55" applyFont="1" applyFill="1" applyBorder="1" applyAlignment="1">
      <alignment vertical="center"/>
    </xf>
    <xf numFmtId="164" fontId="33" fillId="0" borderId="0" xfId="55" applyFont="1" applyFill="1" applyBorder="1" applyAlignment="1">
      <alignment horizontal="center" vertical="center"/>
    </xf>
    <xf numFmtId="0" fontId="34" fillId="0" borderId="0" xfId="82" applyFont="1" applyFill="1" applyBorder="1" applyAlignment="1">
      <alignment vertical="center" wrapText="1"/>
    </xf>
    <xf numFmtId="0" fontId="33" fillId="0" borderId="0" xfId="82" applyFont="1" applyFill="1" applyBorder="1" applyAlignment="1">
      <alignment vertical="center" wrapText="1"/>
    </xf>
    <xf numFmtId="0" fontId="33" fillId="0" borderId="0" xfId="82" applyFont="1" applyFill="1" applyBorder="1" applyAlignment="1">
      <alignment horizontal="left" vertical="center"/>
    </xf>
    <xf numFmtId="0" fontId="33" fillId="0" borderId="0" xfId="82" applyFont="1" applyFill="1" applyBorder="1" applyAlignment="1">
      <alignment horizontal="center" vertical="center"/>
    </xf>
    <xf numFmtId="167" fontId="33" fillId="0" borderId="0" xfId="84" applyFont="1" applyFill="1" applyBorder="1" applyAlignment="1">
      <alignment vertical="center"/>
    </xf>
    <xf numFmtId="0" fontId="33" fillId="0" borderId="0" xfId="82" applyFont="1" applyFill="1" applyAlignment="1">
      <alignment horizontal="left" vertical="center"/>
    </xf>
    <xf numFmtId="0" fontId="33" fillId="0" borderId="0" xfId="82" applyFont="1" applyFill="1" applyAlignment="1">
      <alignment vertical="center"/>
    </xf>
    <xf numFmtId="0" fontId="33" fillId="0" borderId="0" xfId="82" applyFont="1" applyFill="1" applyAlignment="1">
      <alignment horizontal="center" vertical="center"/>
    </xf>
    <xf numFmtId="164" fontId="33" fillId="0" borderId="0" xfId="55" applyFont="1" applyFill="1" applyAlignment="1">
      <alignment vertical="center"/>
    </xf>
    <xf numFmtId="167" fontId="33" fillId="0" borderId="0" xfId="84" applyFont="1" applyFill="1" applyAlignment="1">
      <alignment vertical="center"/>
    </xf>
    <xf numFmtId="0" fontId="33" fillId="0" borderId="0" xfId="82" applyFont="1" applyAlignment="1">
      <alignment horizontal="left" vertical="center"/>
    </xf>
    <xf numFmtId="0" fontId="33" fillId="0" borderId="0" xfId="82" applyFont="1" applyAlignment="1">
      <alignment vertical="center"/>
    </xf>
    <xf numFmtId="0" fontId="33" fillId="0" borderId="0" xfId="82" applyFont="1" applyAlignment="1">
      <alignment horizontal="center" vertical="center"/>
    </xf>
    <xf numFmtId="164" fontId="33" fillId="0" borderId="0" xfId="55" applyFont="1" applyAlignment="1">
      <alignment vertical="center"/>
    </xf>
    <xf numFmtId="167" fontId="33" fillId="0" borderId="0" xfId="84" applyFont="1" applyAlignment="1">
      <alignment vertical="center"/>
    </xf>
    <xf numFmtId="4" fontId="34" fillId="24" borderId="2" xfId="0" applyNumberFormat="1" applyFont="1" applyFill="1" applyBorder="1" applyAlignment="1">
      <alignment horizontal="center" vertical="top" wrapText="1"/>
    </xf>
    <xf numFmtId="4" fontId="33" fillId="24" borderId="0" xfId="0" applyNumberFormat="1" applyFont="1" applyFill="1" applyBorder="1" applyAlignment="1">
      <alignment horizontal="center" vertical="top" wrapText="1"/>
    </xf>
    <xf numFmtId="0" fontId="34" fillId="24" borderId="0" xfId="82" applyFont="1" applyFill="1" applyBorder="1" applyAlignment="1">
      <alignment horizontal="right" vertical="center"/>
    </xf>
    <xf numFmtId="49" fontId="33" fillId="24" borderId="0" xfId="55" applyNumberFormat="1" applyFont="1" applyFill="1" applyBorder="1" applyAlignment="1">
      <alignment horizontal="left" vertical="center"/>
    </xf>
    <xf numFmtId="167" fontId="34" fillId="24" borderId="0" xfId="84" applyFont="1" applyFill="1" applyBorder="1" applyAlignment="1">
      <alignment horizontal="right" vertical="center"/>
    </xf>
    <xf numFmtId="167" fontId="33" fillId="24" borderId="0" xfId="84" applyFont="1" applyFill="1" applyBorder="1" applyAlignment="1">
      <alignment horizontal="left" vertical="center"/>
    </xf>
    <xf numFmtId="49" fontId="33" fillId="24" borderId="0" xfId="84" applyNumberFormat="1" applyFont="1" applyFill="1" applyBorder="1" applyAlignment="1">
      <alignment vertical="center"/>
    </xf>
    <xf numFmtId="49" fontId="33" fillId="30" borderId="8" xfId="82" applyNumberFormat="1" applyFont="1" applyFill="1" applyBorder="1" applyAlignment="1">
      <alignment horizontal="justify" vertical="center"/>
    </xf>
    <xf numFmtId="0" fontId="33" fillId="30" borderId="8" xfId="82" applyNumberFormat="1" applyFont="1" applyFill="1" applyBorder="1" applyAlignment="1">
      <alignment horizontal="justify" vertical="center" wrapText="1"/>
    </xf>
    <xf numFmtId="0" fontId="33" fillId="30" borderId="7" xfId="82" applyFont="1" applyFill="1" applyBorder="1" applyAlignment="1">
      <alignment horizontal="center" vertical="center" wrapText="1"/>
    </xf>
    <xf numFmtId="4" fontId="33" fillId="0" borderId="9" xfId="82" applyNumberFormat="1" applyFont="1" applyFill="1" applyBorder="1" applyAlignment="1">
      <alignment horizontal="center" vertical="center"/>
    </xf>
    <xf numFmtId="4" fontId="33" fillId="26" borderId="8" xfId="82" applyNumberFormat="1" applyFont="1" applyFill="1" applyBorder="1" applyAlignment="1">
      <alignment horizontal="center" vertical="center"/>
    </xf>
    <xf numFmtId="4" fontId="34" fillId="30" borderId="8" xfId="82" applyNumberFormat="1" applyFont="1" applyFill="1" applyBorder="1" applyAlignment="1">
      <alignment vertical="center"/>
    </xf>
    <xf numFmtId="4" fontId="34" fillId="26" borderId="8" xfId="82" applyNumberFormat="1" applyFont="1" applyFill="1" applyBorder="1" applyAlignment="1">
      <alignment vertical="center"/>
    </xf>
    <xf numFmtId="4" fontId="34" fillId="30" borderId="9" xfId="82" applyNumberFormat="1" applyFont="1" applyFill="1" applyBorder="1" applyAlignment="1">
      <alignment horizontal="center" vertical="center"/>
    </xf>
    <xf numFmtId="4" fontId="34" fillId="0" borderId="8" xfId="82" applyNumberFormat="1" applyFont="1" applyFill="1" applyBorder="1" applyAlignment="1">
      <alignment horizontal="center" vertical="center"/>
    </xf>
    <xf numFmtId="4" fontId="34" fillId="0" borderId="9" xfId="82" applyNumberFormat="1" applyFont="1" applyFill="1" applyBorder="1" applyAlignment="1">
      <alignment horizontal="center" vertical="center"/>
    </xf>
    <xf numFmtId="2" fontId="33" fillId="24" borderId="9" xfId="82" applyNumberFormat="1" applyFont="1" applyFill="1" applyBorder="1" applyAlignment="1">
      <alignment horizontal="center" vertical="center"/>
    </xf>
    <xf numFmtId="4" fontId="34" fillId="24" borderId="8" xfId="82" applyNumberFormat="1" applyFont="1" applyFill="1" applyBorder="1" applyAlignment="1">
      <alignment horizontal="center" vertical="center"/>
    </xf>
    <xf numFmtId="0" fontId="31" fillId="24" borderId="0" xfId="0" applyFont="1" applyFill="1" applyBorder="1" applyAlignment="1">
      <alignment horizontal="left"/>
    </xf>
    <xf numFmtId="0" fontId="33" fillId="24" borderId="8" xfId="82" applyFont="1" applyFill="1" applyBorder="1" applyAlignment="1">
      <alignment horizontal="center" vertical="center" wrapText="1"/>
    </xf>
    <xf numFmtId="0" fontId="35" fillId="24" borderId="0" xfId="0" applyFont="1" applyFill="1" applyBorder="1"/>
    <xf numFmtId="0" fontId="33" fillId="0" borderId="8" xfId="82" applyFont="1" applyFill="1" applyBorder="1" applyAlignment="1">
      <alignment horizontal="center" vertical="center" wrapText="1"/>
    </xf>
    <xf numFmtId="0" fontId="45" fillId="0" borderId="0" xfId="87" applyNumberFormat="1" applyFont="1" applyBorder="1" applyAlignment="1"/>
    <xf numFmtId="0" fontId="46" fillId="0" borderId="0" xfId="87" applyNumberFormat="1" applyFont="1"/>
    <xf numFmtId="0" fontId="46" fillId="0" borderId="0" xfId="87" applyNumberFormat="1" applyFont="1" applyAlignment="1">
      <alignment horizontal="left"/>
    </xf>
    <xf numFmtId="0" fontId="47" fillId="0" borderId="0" xfId="87" applyNumberFormat="1" applyFont="1" applyBorder="1" applyAlignment="1">
      <alignment horizontal="center"/>
    </xf>
    <xf numFmtId="0" fontId="48" fillId="0" borderId="0" xfId="87" applyNumberFormat="1" applyFont="1"/>
    <xf numFmtId="0" fontId="48" fillId="0" borderId="0" xfId="87" applyNumberFormat="1" applyFont="1" applyAlignment="1">
      <alignment horizontal="left"/>
    </xf>
    <xf numFmtId="0" fontId="47" fillId="0" borderId="0" xfId="87" applyNumberFormat="1" applyFont="1"/>
    <xf numFmtId="0" fontId="47" fillId="0" borderId="0" xfId="87" applyNumberFormat="1" applyFont="1" applyFill="1"/>
    <xf numFmtId="0" fontId="6" fillId="0" borderId="0" xfId="86" applyFont="1" applyProtection="1"/>
    <xf numFmtId="0" fontId="49" fillId="0" borderId="0" xfId="86" applyFont="1" applyProtection="1"/>
    <xf numFmtId="0" fontId="6" fillId="0" borderId="0" xfId="86" applyFont="1" applyAlignment="1" applyProtection="1">
      <alignment horizontal="center"/>
    </xf>
    <xf numFmtId="0" fontId="48" fillId="0" borderId="0" xfId="86" applyFont="1" applyBorder="1" applyAlignment="1" applyProtection="1">
      <alignment horizontal="center" wrapText="1"/>
    </xf>
    <xf numFmtId="0" fontId="6" fillId="0" borderId="0" xfId="86" applyFont="1" applyBorder="1" applyProtection="1"/>
    <xf numFmtId="10" fontId="50" fillId="0" borderId="0" xfId="68" applyNumberFormat="1" applyFont="1" applyBorder="1" applyAlignment="1" applyProtection="1">
      <alignment horizontal="left" vertical="center" wrapText="1"/>
    </xf>
    <xf numFmtId="10" fontId="51" fillId="0" borderId="0" xfId="68" applyNumberFormat="1" applyFont="1" applyProtection="1"/>
    <xf numFmtId="0" fontId="44" fillId="24" borderId="0" xfId="0" applyFont="1" applyFill="1" applyBorder="1" applyAlignment="1"/>
    <xf numFmtId="0" fontId="32" fillId="24" borderId="0" xfId="0" applyFont="1" applyFill="1" applyBorder="1"/>
    <xf numFmtId="0" fontId="36" fillId="24" borderId="0" xfId="0" applyFont="1" applyFill="1" applyBorder="1" applyAlignment="1">
      <alignment horizontal="left" vertical="top"/>
    </xf>
    <xf numFmtId="0" fontId="33" fillId="26" borderId="2" xfId="82" applyFont="1" applyFill="1" applyBorder="1" applyAlignment="1">
      <alignment vertical="center"/>
    </xf>
    <xf numFmtId="2" fontId="33" fillId="0" borderId="4" xfId="82" applyNumberFormat="1" applyFont="1" applyFill="1" applyBorder="1" applyAlignment="1">
      <alignment horizontal="center" vertical="center"/>
    </xf>
    <xf numFmtId="0" fontId="33" fillId="26" borderId="18" xfId="82" applyFont="1" applyFill="1" applyBorder="1" applyAlignment="1">
      <alignment vertical="center"/>
    </xf>
    <xf numFmtId="2" fontId="33" fillId="0" borderId="5" xfId="82" applyNumberFormat="1" applyFont="1" applyFill="1" applyBorder="1" applyAlignment="1">
      <alignment horizontal="center" vertical="center"/>
    </xf>
    <xf numFmtId="0" fontId="57" fillId="0" borderId="0" xfId="89"/>
    <xf numFmtId="0" fontId="34" fillId="24" borderId="0" xfId="0" applyFont="1" applyFill="1" applyBorder="1" applyAlignment="1">
      <alignment horizontal="left" vertical="center"/>
    </xf>
    <xf numFmtId="4" fontId="34" fillId="0" borderId="8" xfId="1" applyNumberFormat="1" applyFont="1" applyFill="1" applyBorder="1" applyAlignment="1">
      <alignment horizontal="right" vertical="center"/>
    </xf>
    <xf numFmtId="0" fontId="58" fillId="26" borderId="8" xfId="90" applyFont="1" applyFill="1" applyBorder="1" applyAlignment="1">
      <alignment horizontal="center" vertical="center" wrapText="1"/>
    </xf>
    <xf numFmtId="0" fontId="58" fillId="26" borderId="8" xfId="90" applyFont="1" applyFill="1" applyBorder="1" applyAlignment="1">
      <alignment horizontal="justify" vertical="center" wrapText="1"/>
    </xf>
    <xf numFmtId="0" fontId="33" fillId="24" borderId="0" xfId="89" applyFont="1" applyFill="1" applyBorder="1" applyAlignment="1">
      <alignment horizontal="justify" wrapText="1"/>
    </xf>
    <xf numFmtId="0" fontId="33" fillId="24" borderId="0" xfId="89" applyFont="1" applyFill="1" applyBorder="1"/>
    <xf numFmtId="164" fontId="58" fillId="0" borderId="0" xfId="1" applyFont="1" applyBorder="1" applyAlignment="1">
      <alignment horizontal="center" vertical="center" wrapText="1"/>
    </xf>
    <xf numFmtId="0" fontId="33" fillId="0" borderId="0" xfId="89" applyFont="1" applyAlignment="1">
      <alignment horizontal="justify" wrapText="1"/>
    </xf>
    <xf numFmtId="0" fontId="33" fillId="0" borderId="0" xfId="89" applyFont="1"/>
    <xf numFmtId="0" fontId="59" fillId="0" borderId="0" xfId="87" applyNumberFormat="1" applyFont="1" applyBorder="1" applyAlignment="1">
      <alignment horizontal="right" vertical="center"/>
    </xf>
    <xf numFmtId="0" fontId="34" fillId="24" borderId="0" xfId="0" applyFont="1" applyFill="1" applyBorder="1" applyAlignment="1">
      <alignment horizontal="right" vertical="center"/>
    </xf>
    <xf numFmtId="164" fontId="33" fillId="24" borderId="0" xfId="1" applyFont="1" applyFill="1" applyBorder="1" applyAlignment="1">
      <alignment horizontal="right" vertical="center"/>
    </xf>
    <xf numFmtId="164" fontId="33" fillId="24" borderId="0" xfId="1" applyFont="1" applyFill="1" applyBorder="1" applyAlignment="1">
      <alignment horizontal="left" vertical="center"/>
    </xf>
    <xf numFmtId="10" fontId="34" fillId="24" borderId="0" xfId="81" applyNumberFormat="1" applyFont="1" applyFill="1" applyBorder="1" applyAlignment="1">
      <alignment horizontal="right" vertical="center"/>
    </xf>
    <xf numFmtId="49" fontId="33" fillId="24" borderId="0" xfId="81" applyNumberFormat="1" applyFont="1" applyFill="1" applyBorder="1" applyAlignment="1">
      <alignment horizontal="right" vertical="center"/>
    </xf>
    <xf numFmtId="49" fontId="34" fillId="24" borderId="0" xfId="1" applyNumberFormat="1" applyFont="1" applyFill="1" applyBorder="1" applyAlignment="1">
      <alignment horizontal="right" vertical="center"/>
    </xf>
    <xf numFmtId="0" fontId="34" fillId="25" borderId="8" xfId="0" applyFont="1" applyFill="1" applyBorder="1" applyAlignment="1">
      <alignment horizontal="center" vertical="center"/>
    </xf>
    <xf numFmtId="49" fontId="34" fillId="25" borderId="8" xfId="0" applyNumberFormat="1" applyFont="1" applyFill="1" applyBorder="1" applyAlignment="1">
      <alignment horizontal="center" vertical="center"/>
    </xf>
    <xf numFmtId="0" fontId="34" fillId="25" borderId="8" xfId="0" applyFont="1" applyFill="1" applyBorder="1" applyAlignment="1">
      <alignment horizontal="justify" vertical="center" wrapText="1"/>
    </xf>
    <xf numFmtId="4" fontId="34" fillId="25" borderId="8" xfId="0" applyNumberFormat="1" applyFont="1" applyFill="1" applyBorder="1" applyAlignment="1">
      <alignment horizontal="center" vertical="center"/>
    </xf>
    <xf numFmtId="4" fontId="33" fillId="25" borderId="8" xfId="1" applyNumberFormat="1" applyFont="1" applyFill="1" applyBorder="1" applyAlignment="1">
      <alignment horizontal="center" vertical="center"/>
    </xf>
    <xf numFmtId="4" fontId="34" fillId="25" borderId="8" xfId="1" applyNumberFormat="1" applyFont="1" applyFill="1" applyBorder="1" applyAlignment="1">
      <alignment horizontal="center" vertical="center"/>
    </xf>
    <xf numFmtId="0" fontId="33" fillId="0" borderId="8" xfId="0" applyFont="1" applyFill="1" applyBorder="1" applyAlignment="1">
      <alignment horizontal="center" vertical="center"/>
    </xf>
    <xf numFmtId="49" fontId="33" fillId="0" borderId="8" xfId="0" applyNumberFormat="1" applyFont="1" applyFill="1" applyBorder="1" applyAlignment="1">
      <alignment horizontal="center" vertical="center"/>
    </xf>
    <xf numFmtId="4" fontId="33" fillId="0" borderId="8" xfId="0" applyNumberFormat="1" applyFont="1" applyFill="1" applyBorder="1" applyAlignment="1">
      <alignment horizontal="right" vertical="center"/>
    </xf>
    <xf numFmtId="4" fontId="33" fillId="0" borderId="8" xfId="1" applyNumberFormat="1" applyFont="1" applyFill="1" applyBorder="1" applyAlignment="1">
      <alignment horizontal="right" vertical="center"/>
    </xf>
    <xf numFmtId="0" fontId="34" fillId="0" borderId="8" xfId="0" applyFont="1" applyFill="1" applyBorder="1" applyAlignment="1">
      <alignment horizontal="right" vertical="center" wrapText="1"/>
    </xf>
    <xf numFmtId="0" fontId="34" fillId="0" borderId="8" xfId="0" applyFont="1" applyFill="1" applyBorder="1" applyAlignment="1">
      <alignment horizontal="center" vertical="center"/>
    </xf>
    <xf numFmtId="4" fontId="34" fillId="0" borderId="8" xfId="0" applyNumberFormat="1" applyFont="1" applyFill="1" applyBorder="1" applyAlignment="1">
      <alignment horizontal="right" vertical="center"/>
    </xf>
    <xf numFmtId="4" fontId="34" fillId="25" borderId="8" xfId="0" applyNumberFormat="1" applyFont="1" applyFill="1" applyBorder="1" applyAlignment="1">
      <alignment horizontal="right" vertical="center"/>
    </xf>
    <xf numFmtId="4" fontId="33" fillId="25" borderId="8" xfId="1" applyNumberFormat="1" applyFont="1" applyFill="1" applyBorder="1" applyAlignment="1">
      <alignment horizontal="right" vertical="center"/>
    </xf>
    <xf numFmtId="4" fontId="34" fillId="25" borderId="8" xfId="1" applyNumberFormat="1" applyFont="1" applyFill="1" applyBorder="1" applyAlignment="1">
      <alignment horizontal="right" vertical="center"/>
    </xf>
    <xf numFmtId="0" fontId="33" fillId="0" borderId="8" xfId="0" applyFont="1" applyFill="1" applyBorder="1" applyAlignment="1">
      <alignment horizontal="justify" vertical="center" wrapText="1"/>
    </xf>
    <xf numFmtId="4" fontId="33" fillId="24" borderId="8" xfId="1" applyNumberFormat="1" applyFont="1" applyFill="1" applyBorder="1" applyAlignment="1">
      <alignment horizontal="right" vertical="center"/>
    </xf>
    <xf numFmtId="4" fontId="33" fillId="0" borderId="8" xfId="0" applyNumberFormat="1" applyFont="1" applyFill="1" applyBorder="1" applyAlignment="1">
      <alignment horizontal="center" vertical="center"/>
    </xf>
    <xf numFmtId="4" fontId="34" fillId="0" borderId="8" xfId="0" applyNumberFormat="1" applyFont="1" applyFill="1" applyBorder="1" applyAlignment="1">
      <alignment horizontal="center" vertical="center"/>
    </xf>
    <xf numFmtId="4" fontId="6" fillId="24" borderId="0" xfId="0" applyNumberFormat="1" applyFont="1" applyFill="1" applyAlignment="1">
      <alignment horizontal="left" vertical="center"/>
    </xf>
    <xf numFmtId="0" fontId="33" fillId="0" borderId="0" xfId="82" applyFont="1" applyFill="1" applyBorder="1" applyAlignment="1">
      <alignment horizontal="right" vertical="center" wrapText="1"/>
    </xf>
    <xf numFmtId="2" fontId="33" fillId="0" borderId="0" xfId="82" applyNumberFormat="1" applyFont="1" applyFill="1" applyBorder="1" applyAlignment="1">
      <alignment horizontal="center" vertical="center"/>
    </xf>
    <xf numFmtId="4" fontId="34" fillId="0" borderId="0" xfId="82" applyNumberFormat="1" applyFont="1" applyFill="1" applyBorder="1" applyAlignment="1">
      <alignment horizontal="center" vertical="center"/>
    </xf>
    <xf numFmtId="0" fontId="34" fillId="0" borderId="8" xfId="82" applyFont="1" applyFill="1" applyBorder="1" applyAlignment="1">
      <alignment horizontal="right" vertical="center" wrapText="1"/>
    </xf>
    <xf numFmtId="2" fontId="34" fillId="0" borderId="9" xfId="82" applyNumberFormat="1" applyFont="1" applyFill="1" applyBorder="1" applyAlignment="1">
      <alignment horizontal="center" vertical="center"/>
    </xf>
    <xf numFmtId="0" fontId="58" fillId="0" borderId="0" xfId="87" applyNumberFormat="1" applyFont="1" applyBorder="1" applyAlignment="1">
      <alignment horizontal="center"/>
    </xf>
    <xf numFmtId="10" fontId="58" fillId="31" borderId="0" xfId="87" applyNumberFormat="1" applyFont="1" applyFill="1" applyBorder="1" applyAlignment="1" applyProtection="1">
      <alignment horizontal="left" vertical="center" wrapText="1"/>
      <protection locked="0"/>
    </xf>
    <xf numFmtId="0" fontId="58" fillId="0" borderId="0" xfId="87" applyNumberFormat="1" applyFont="1" applyAlignment="1">
      <alignment horizontal="center" wrapText="1"/>
    </xf>
    <xf numFmtId="0" fontId="58" fillId="0" borderId="0" xfId="87" applyNumberFormat="1" applyFont="1" applyAlignment="1">
      <alignment wrapText="1"/>
    </xf>
    <xf numFmtId="0" fontId="59" fillId="0" borderId="0" xfId="87" applyNumberFormat="1" applyFont="1" applyFill="1" applyBorder="1" applyAlignment="1">
      <alignment horizontal="right" vertical="center"/>
    </xf>
    <xf numFmtId="10" fontId="58" fillId="0" borderId="0" xfId="87" applyNumberFormat="1" applyFont="1" applyFill="1" applyBorder="1" applyAlignment="1">
      <alignment horizontal="left" vertical="center"/>
    </xf>
    <xf numFmtId="0" fontId="58" fillId="0" borderId="0" xfId="87" applyNumberFormat="1" applyFont="1" applyFill="1" applyAlignment="1">
      <alignment horizontal="center"/>
    </xf>
    <xf numFmtId="0" fontId="58" fillId="0" borderId="0" xfId="87" applyNumberFormat="1" applyFont="1" applyFill="1"/>
    <xf numFmtId="0" fontId="33" fillId="0" borderId="0" xfId="86" applyFont="1" applyProtection="1"/>
    <xf numFmtId="0" fontId="34" fillId="0" borderId="0" xfId="86" applyFont="1" applyAlignment="1" applyProtection="1"/>
    <xf numFmtId="0" fontId="34" fillId="0" borderId="0" xfId="86" applyFont="1" applyAlignment="1" applyProtection="1">
      <alignment horizontal="center"/>
    </xf>
    <xf numFmtId="0" fontId="34" fillId="0" borderId="0" xfId="86" applyFont="1" applyFill="1" applyAlignment="1" applyProtection="1"/>
    <xf numFmtId="0" fontId="33" fillId="31" borderId="0" xfId="86" applyFont="1" applyFill="1" applyAlignment="1" applyProtection="1">
      <protection locked="0"/>
    </xf>
    <xf numFmtId="0" fontId="33" fillId="0" borderId="0" xfId="86" applyFont="1" applyAlignment="1" applyProtection="1"/>
    <xf numFmtId="0" fontId="33" fillId="0" borderId="0" xfId="86" applyFont="1" applyAlignment="1" applyProtection="1">
      <alignment horizontal="center"/>
    </xf>
    <xf numFmtId="0" fontId="33" fillId="0" borderId="0" xfId="86" applyFont="1" applyFill="1" applyAlignment="1" applyProtection="1">
      <alignment horizontal="center"/>
    </xf>
    <xf numFmtId="0" fontId="34" fillId="0" borderId="0" xfId="86" applyFont="1" applyFill="1" applyAlignment="1" applyProtection="1">
      <alignment horizontal="center"/>
    </xf>
    <xf numFmtId="0" fontId="33" fillId="0" borderId="0" xfId="86" applyFont="1" applyAlignment="1" applyProtection="1">
      <alignment horizontal="right"/>
    </xf>
    <xf numFmtId="0" fontId="33" fillId="0" borderId="20" xfId="86" applyFont="1" applyBorder="1" applyAlignment="1" applyProtection="1">
      <alignment horizontal="justify" vertical="top" wrapText="1"/>
    </xf>
    <xf numFmtId="2" fontId="33" fillId="31" borderId="21" xfId="86" applyNumberFormat="1" applyFont="1" applyFill="1" applyBorder="1" applyAlignment="1" applyProtection="1">
      <alignment horizontal="center" vertical="top" wrapText="1"/>
      <protection locked="0"/>
    </xf>
    <xf numFmtId="0" fontId="33" fillId="0" borderId="9" xfId="86" applyFont="1" applyFill="1" applyBorder="1" applyAlignment="1" applyProtection="1">
      <alignment horizontal="center" vertical="top" wrapText="1"/>
    </xf>
    <xf numFmtId="0" fontId="33" fillId="0" borderId="0" xfId="86" applyFont="1" applyBorder="1" applyProtection="1"/>
    <xf numFmtId="0" fontId="60" fillId="0" borderId="7" xfId="86" applyFont="1" applyBorder="1" applyAlignment="1" applyProtection="1">
      <alignment horizontal="justify" vertical="top" wrapText="1"/>
    </xf>
    <xf numFmtId="2" fontId="33" fillId="0" borderId="7" xfId="86" applyNumberFormat="1" applyFont="1" applyFill="1" applyBorder="1" applyAlignment="1" applyProtection="1">
      <alignment horizontal="center" vertical="top" wrapText="1"/>
    </xf>
    <xf numFmtId="0" fontId="33" fillId="0" borderId="7" xfId="86" applyFont="1" applyFill="1" applyBorder="1" applyAlignment="1" applyProtection="1">
      <alignment horizontal="center" vertical="top" wrapText="1"/>
    </xf>
    <xf numFmtId="0" fontId="33" fillId="0" borderId="0" xfId="86" applyFont="1" applyBorder="1" applyAlignment="1" applyProtection="1">
      <alignment horizontal="center"/>
    </xf>
    <xf numFmtId="0" fontId="33" fillId="0" borderId="0" xfId="86" applyFont="1" applyFill="1" applyBorder="1" applyAlignment="1" applyProtection="1">
      <alignment horizontal="center"/>
    </xf>
    <xf numFmtId="0" fontId="34" fillId="0" borderId="0" xfId="86" applyFont="1" applyBorder="1" applyAlignment="1" applyProtection="1">
      <alignment horizontal="center"/>
    </xf>
    <xf numFmtId="0" fontId="34" fillId="0" borderId="0" xfId="86" applyFont="1" applyFill="1" applyBorder="1" applyAlignment="1" applyProtection="1">
      <alignment horizontal="center"/>
    </xf>
    <xf numFmtId="0" fontId="34" fillId="0" borderId="20" xfId="86" applyFont="1" applyBorder="1" applyAlignment="1" applyProtection="1">
      <alignment horizontal="justify"/>
    </xf>
    <xf numFmtId="2" fontId="34" fillId="0" borderId="21" xfId="86" applyNumberFormat="1" applyFont="1" applyBorder="1" applyAlignment="1" applyProtection="1">
      <alignment horizontal="center"/>
    </xf>
    <xf numFmtId="0" fontId="34" fillId="0" borderId="9" xfId="86" applyFont="1" applyFill="1" applyBorder="1" applyAlignment="1" applyProtection="1">
      <alignment horizontal="center" vertical="top" wrapText="1"/>
    </xf>
    <xf numFmtId="0" fontId="60" fillId="0" borderId="20" xfId="86" applyFont="1" applyBorder="1" applyAlignment="1" applyProtection="1">
      <alignment horizontal="left" vertical="top" wrapText="1" indent="2"/>
    </xf>
    <xf numFmtId="2" fontId="33" fillId="0" borderId="21" xfId="86" applyNumberFormat="1" applyFont="1" applyFill="1" applyBorder="1" applyAlignment="1" applyProtection="1">
      <alignment horizontal="center" vertical="top" wrapText="1"/>
    </xf>
    <xf numFmtId="2" fontId="33" fillId="0" borderId="9" xfId="86" applyNumberFormat="1" applyFont="1" applyFill="1" applyBorder="1" applyAlignment="1" applyProtection="1">
      <alignment horizontal="center" vertical="top" wrapText="1"/>
    </xf>
    <xf numFmtId="170" fontId="59" fillId="0" borderId="0" xfId="68" applyNumberFormat="1" applyFont="1" applyAlignment="1" applyProtection="1">
      <alignment horizontal="center"/>
    </xf>
    <xf numFmtId="0" fontId="33" fillId="0" borderId="0" xfId="86" applyFont="1" applyFill="1" applyProtection="1"/>
    <xf numFmtId="0" fontId="34" fillId="0" borderId="0" xfId="87" applyFont="1" applyFill="1" applyBorder="1" applyAlignment="1">
      <alignment vertical="center"/>
    </xf>
    <xf numFmtId="0" fontId="33" fillId="0" borderId="0" xfId="87" applyFont="1" applyFill="1" applyBorder="1" applyAlignment="1">
      <alignment vertical="center"/>
    </xf>
    <xf numFmtId="0" fontId="34" fillId="31" borderId="2" xfId="87" applyFont="1" applyFill="1" applyBorder="1" applyAlignment="1" applyProtection="1">
      <alignment horizontal="center" vertical="center"/>
      <protection locked="0"/>
    </xf>
    <xf numFmtId="0" fontId="33" fillId="31" borderId="0" xfId="87" applyFont="1" applyFill="1" applyBorder="1" applyAlignment="1" applyProtection="1">
      <alignment horizontal="center" vertical="center"/>
      <protection locked="0"/>
    </xf>
    <xf numFmtId="49" fontId="37" fillId="24" borderId="8" xfId="82" applyNumberFormat="1" applyFont="1" applyFill="1" applyBorder="1" applyAlignment="1">
      <alignment horizontal="center" vertical="center" wrapText="1"/>
    </xf>
    <xf numFmtId="0" fontId="37" fillId="24" borderId="8" xfId="82" applyFont="1" applyFill="1" applyBorder="1" applyAlignment="1">
      <alignment horizontal="center" vertical="center" wrapText="1"/>
    </xf>
    <xf numFmtId="2" fontId="37" fillId="24" borderId="7" xfId="82" applyNumberFormat="1" applyFont="1" applyFill="1" applyBorder="1" applyAlignment="1">
      <alignment horizontal="center" vertical="center"/>
    </xf>
    <xf numFmtId="2" fontId="37" fillId="24" borderId="9" xfId="82" applyNumberFormat="1" applyFont="1" applyFill="1" applyBorder="1" applyAlignment="1">
      <alignment horizontal="center" vertical="center"/>
    </xf>
    <xf numFmtId="4" fontId="38" fillId="24" borderId="8" xfId="82" applyNumberFormat="1" applyFont="1" applyFill="1" applyBorder="1" applyAlignment="1">
      <alignment horizontal="center" vertical="center"/>
    </xf>
    <xf numFmtId="0" fontId="33" fillId="0" borderId="8" xfId="0" applyNumberFormat="1" applyFont="1" applyFill="1" applyBorder="1" applyAlignment="1">
      <alignment horizontal="justify" vertical="center" wrapText="1"/>
    </xf>
    <xf numFmtId="0" fontId="44" fillId="24" borderId="0" xfId="0" applyFont="1" applyFill="1" applyBorder="1" applyAlignment="1">
      <alignment horizontal="left"/>
    </xf>
    <xf numFmtId="0" fontId="43" fillId="26" borderId="8" xfId="82" applyFont="1" applyFill="1" applyBorder="1" applyAlignment="1">
      <alignment horizontal="center" vertical="center"/>
    </xf>
    <xf numFmtId="0" fontId="59" fillId="0" borderId="8" xfId="90" applyFont="1" applyFill="1" applyBorder="1" applyAlignment="1">
      <alignment horizontal="center" vertical="center" wrapText="1"/>
    </xf>
    <xf numFmtId="0" fontId="59" fillId="0" borderId="0" xfId="90" applyFont="1" applyFill="1" applyBorder="1" applyAlignment="1">
      <alignment horizontal="center" vertical="center" wrapText="1"/>
    </xf>
    <xf numFmtId="164" fontId="59" fillId="0" borderId="0" xfId="1" applyFont="1" applyFill="1" applyBorder="1" applyAlignment="1">
      <alignment horizontal="center" vertical="center" wrapText="1"/>
    </xf>
    <xf numFmtId="0" fontId="33" fillId="0" borderId="0" xfId="89" applyFont="1" applyFill="1" applyBorder="1" applyAlignment="1">
      <alignment horizontal="justify" wrapText="1"/>
    </xf>
    <xf numFmtId="0" fontId="33" fillId="0" borderId="0" xfId="89" applyFont="1" applyFill="1" applyBorder="1"/>
    <xf numFmtId="0" fontId="59" fillId="0" borderId="0" xfId="90" applyFont="1" applyBorder="1" applyAlignment="1">
      <alignment horizontal="center" vertical="center" wrapText="1"/>
    </xf>
    <xf numFmtId="164" fontId="58" fillId="0" borderId="8" xfId="1" applyFont="1" applyFill="1" applyBorder="1" applyAlignment="1">
      <alignment horizontal="center" vertical="center" wrapText="1"/>
    </xf>
    <xf numFmtId="164" fontId="58" fillId="0" borderId="0" xfId="1" applyFont="1" applyFill="1" applyBorder="1" applyAlignment="1">
      <alignment horizontal="center" vertical="center" wrapText="1"/>
    </xf>
    <xf numFmtId="43" fontId="57" fillId="0" borderId="0" xfId="89" applyNumberFormat="1"/>
    <xf numFmtId="164" fontId="57" fillId="0" borderId="0" xfId="89" applyNumberFormat="1"/>
    <xf numFmtId="0" fontId="44" fillId="24" borderId="0" xfId="0" applyFont="1" applyFill="1" applyBorder="1"/>
    <xf numFmtId="0" fontId="62" fillId="24" borderId="0" xfId="0" applyFont="1" applyFill="1" applyBorder="1" applyAlignment="1"/>
    <xf numFmtId="49" fontId="33" fillId="24" borderId="0" xfId="1" applyNumberFormat="1" applyFont="1" applyFill="1" applyBorder="1" applyAlignment="1">
      <alignment horizontal="right" vertical="center"/>
    </xf>
    <xf numFmtId="10" fontId="33" fillId="24" borderId="0" xfId="81" applyNumberFormat="1" applyFont="1" applyFill="1" applyBorder="1" applyAlignment="1">
      <alignment horizontal="right" vertical="center"/>
    </xf>
    <xf numFmtId="0" fontId="42" fillId="0" borderId="0" xfId="82" applyFont="1" applyFill="1" applyBorder="1" applyAlignment="1">
      <alignment horizontal="center" vertical="center"/>
    </xf>
    <xf numFmtId="0" fontId="33" fillId="30" borderId="8" xfId="82" applyNumberFormat="1" applyFont="1" applyFill="1" applyBorder="1" applyAlignment="1" applyProtection="1">
      <alignment horizontal="center" vertical="center" wrapText="1"/>
      <protection locked="0"/>
    </xf>
    <xf numFmtId="0" fontId="33" fillId="30" borderId="8" xfId="82" applyNumberFormat="1" applyFont="1" applyFill="1" applyBorder="1" applyAlignment="1" applyProtection="1">
      <alignment horizontal="justify" vertical="center" wrapText="1"/>
      <protection locked="0"/>
    </xf>
    <xf numFmtId="49" fontId="33" fillId="30" borderId="8" xfId="82" applyNumberFormat="1" applyFont="1" applyFill="1" applyBorder="1" applyAlignment="1">
      <alignment horizontal="center" vertical="center"/>
    </xf>
    <xf numFmtId="2" fontId="33" fillId="0" borderId="7" xfId="82" applyNumberFormat="1" applyFont="1" applyBorder="1" applyAlignment="1">
      <alignment horizontal="center" vertical="center"/>
    </xf>
    <xf numFmtId="4" fontId="33" fillId="0" borderId="9" xfId="82" applyNumberFormat="1" applyFont="1" applyBorder="1" applyAlignment="1">
      <alignment horizontal="center" vertical="center"/>
    </xf>
    <xf numFmtId="0" fontId="33" fillId="0" borderId="8" xfId="82" applyFont="1" applyBorder="1" applyAlignment="1">
      <alignment horizontal="right" vertical="center" wrapText="1"/>
    </xf>
    <xf numFmtId="4" fontId="33" fillId="0" borderId="7" xfId="82" applyNumberFormat="1" applyFont="1" applyBorder="1" applyAlignment="1">
      <alignment horizontal="center" vertical="center"/>
    </xf>
    <xf numFmtId="0" fontId="33" fillId="24" borderId="0" xfId="89" applyFont="1" applyFill="1" applyBorder="1" applyAlignment="1">
      <alignment horizontal="left"/>
    </xf>
    <xf numFmtId="0" fontId="64" fillId="0" borderId="0" xfId="89" applyFont="1"/>
    <xf numFmtId="0" fontId="34" fillId="24" borderId="0" xfId="89" applyFont="1" applyFill="1" applyBorder="1"/>
    <xf numFmtId="0" fontId="59" fillId="0" borderId="19" xfId="90" applyFont="1" applyFill="1" applyBorder="1" applyAlignment="1">
      <alignment horizontal="center" vertical="center" wrapText="1"/>
    </xf>
    <xf numFmtId="49" fontId="33" fillId="24" borderId="0" xfId="89" applyNumberFormat="1" applyFont="1" applyFill="1" applyBorder="1" applyAlignment="1">
      <alignment horizontal="center"/>
    </xf>
    <xf numFmtId="49" fontId="33" fillId="24" borderId="0" xfId="89" applyNumberFormat="1" applyFont="1" applyFill="1" applyBorder="1" applyAlignment="1">
      <alignment horizontal="center" wrapText="1"/>
    </xf>
    <xf numFmtId="164" fontId="59" fillId="0" borderId="0" xfId="1" applyFont="1" applyBorder="1" applyAlignment="1">
      <alignment horizontal="left" vertical="center" wrapText="1"/>
    </xf>
    <xf numFmtId="3" fontId="59" fillId="0" borderId="0" xfId="90" applyNumberFormat="1" applyFont="1" applyBorder="1" applyAlignment="1">
      <alignment horizontal="right" vertical="center" wrapText="1"/>
    </xf>
    <xf numFmtId="4" fontId="59" fillId="0" borderId="0" xfId="90" applyNumberFormat="1" applyFont="1" applyBorder="1" applyAlignment="1">
      <alignment horizontal="right" vertical="center" wrapText="1"/>
    </xf>
    <xf numFmtId="0" fontId="34" fillId="0" borderId="0" xfId="89" applyFont="1" applyFill="1" applyBorder="1"/>
    <xf numFmtId="0" fontId="33" fillId="0" borderId="0" xfId="89" applyFont="1" applyFill="1" applyBorder="1" applyAlignment="1">
      <alignment horizontal="center" wrapText="1"/>
    </xf>
    <xf numFmtId="0" fontId="33" fillId="0" borderId="0" xfId="89" applyFont="1" applyFill="1" applyBorder="1" applyAlignment="1"/>
    <xf numFmtId="0" fontId="33" fillId="0" borderId="0" xfId="89" applyFont="1" applyFill="1" applyBorder="1" applyAlignment="1">
      <alignment wrapText="1"/>
    </xf>
    <xf numFmtId="0" fontId="33" fillId="0" borderId="0" xfId="89" applyFont="1" applyFill="1" applyBorder="1" applyAlignment="1">
      <alignment horizontal="center"/>
    </xf>
    <xf numFmtId="164" fontId="59" fillId="0" borderId="0" xfId="1" applyFont="1" applyFill="1" applyBorder="1" applyAlignment="1">
      <alignment horizontal="left" vertical="center" wrapText="1"/>
    </xf>
    <xf numFmtId="0" fontId="59" fillId="0" borderId="0" xfId="90" applyFont="1" applyFill="1" applyBorder="1" applyAlignment="1">
      <alignment horizontal="right" vertical="center" wrapText="1"/>
    </xf>
    <xf numFmtId="49" fontId="33" fillId="0" borderId="0" xfId="89" applyNumberFormat="1" applyFont="1" applyFill="1" applyBorder="1" applyAlignment="1">
      <alignment horizontal="center"/>
    </xf>
    <xf numFmtId="0" fontId="33" fillId="0" borderId="0" xfId="89" applyFont="1" applyFill="1" applyBorder="1" applyAlignment="1">
      <alignment horizontal="left"/>
    </xf>
    <xf numFmtId="49" fontId="33" fillId="0" borderId="0" xfId="89" applyNumberFormat="1" applyFont="1" applyFill="1" applyBorder="1" applyAlignment="1">
      <alignment horizontal="center" wrapText="1"/>
    </xf>
    <xf numFmtId="3" fontId="59" fillId="0" borderId="0" xfId="90" applyNumberFormat="1" applyFont="1" applyFill="1" applyBorder="1" applyAlignment="1">
      <alignment horizontal="right" vertical="center" wrapText="1"/>
    </xf>
    <xf numFmtId="4" fontId="59" fillId="0" borderId="0" xfId="90" applyNumberFormat="1" applyFont="1" applyFill="1" applyBorder="1" applyAlignment="1">
      <alignment horizontal="right" vertical="center" wrapText="1"/>
    </xf>
    <xf numFmtId="2" fontId="59" fillId="0" borderId="0" xfId="90" applyNumberFormat="1" applyFont="1" applyFill="1" applyBorder="1" applyAlignment="1">
      <alignment horizontal="right" vertical="center" wrapText="1"/>
    </xf>
    <xf numFmtId="3" fontId="33" fillId="0" borderId="0" xfId="89" applyNumberFormat="1" applyFont="1" applyFill="1" applyBorder="1" applyAlignment="1">
      <alignment wrapText="1"/>
    </xf>
    <xf numFmtId="164" fontId="58" fillId="0" borderId="19" xfId="1" applyFont="1" applyFill="1" applyBorder="1" applyAlignment="1">
      <alignment horizontal="center" vertical="center" wrapText="1"/>
    </xf>
    <xf numFmtId="1" fontId="59" fillId="0" borderId="0" xfId="90" applyNumberFormat="1" applyFont="1" applyFill="1" applyBorder="1" applyAlignment="1">
      <alignment horizontal="right" vertical="center" wrapText="1"/>
    </xf>
    <xf numFmtId="0" fontId="33" fillId="0" borderId="0" xfId="89" applyFont="1" applyFill="1" applyAlignment="1">
      <alignment horizontal="justify" wrapText="1"/>
    </xf>
    <xf numFmtId="0" fontId="33" fillId="0" borderId="0" xfId="89" applyFont="1" applyFill="1"/>
    <xf numFmtId="164" fontId="34" fillId="0" borderId="0" xfId="89" applyNumberFormat="1" applyFont="1" applyFill="1" applyBorder="1"/>
    <xf numFmtId="169" fontId="59" fillId="0" borderId="0" xfId="90" applyNumberFormat="1" applyFont="1" applyFill="1" applyBorder="1" applyAlignment="1">
      <alignment horizontal="right" vertical="center" wrapText="1"/>
    </xf>
    <xf numFmtId="169" fontId="57" fillId="0" borderId="0" xfId="89" applyNumberFormat="1"/>
    <xf numFmtId="0" fontId="33" fillId="0" borderId="19" xfId="89" applyFont="1" applyFill="1" applyBorder="1"/>
    <xf numFmtId="164" fontId="34" fillId="0" borderId="19" xfId="89" applyNumberFormat="1" applyFont="1" applyFill="1" applyBorder="1"/>
    <xf numFmtId="0" fontId="34" fillId="0" borderId="2" xfId="89" applyFont="1" applyFill="1" applyBorder="1" applyAlignment="1">
      <alignment horizontal="center" vertical="top" wrapText="1"/>
    </xf>
    <xf numFmtId="0" fontId="33" fillId="0" borderId="0" xfId="89" applyFont="1" applyFill="1" applyAlignment="1">
      <alignment horizontal="center" vertical="top" wrapText="1"/>
    </xf>
    <xf numFmtId="173" fontId="57" fillId="0" borderId="0" xfId="89" applyNumberFormat="1"/>
    <xf numFmtId="174" fontId="57" fillId="0" borderId="0" xfId="89" applyNumberFormat="1"/>
    <xf numFmtId="0" fontId="33" fillId="0" borderId="0" xfId="89" applyFont="1" applyFill="1" applyBorder="1" applyAlignment="1">
      <alignment horizontal="left"/>
    </xf>
    <xf numFmtId="0" fontId="59" fillId="0" borderId="8" xfId="90" applyFont="1" applyFill="1" applyBorder="1" applyAlignment="1">
      <alignment horizontal="justify" vertical="center" wrapText="1"/>
    </xf>
    <xf numFmtId="164" fontId="59" fillId="0" borderId="8" xfId="1" applyFont="1" applyFill="1" applyBorder="1" applyAlignment="1">
      <alignment horizontal="center" vertical="center" wrapText="1"/>
    </xf>
    <xf numFmtId="164" fontId="33" fillId="0" borderId="8" xfId="1" applyFont="1" applyFill="1" applyBorder="1" applyAlignment="1">
      <alignment horizontal="center" vertical="center" wrapText="1"/>
    </xf>
    <xf numFmtId="164" fontId="59" fillId="0" borderId="8" xfId="1" applyNumberFormat="1" applyFont="1" applyFill="1" applyBorder="1" applyAlignment="1">
      <alignment horizontal="center" vertical="center" wrapText="1"/>
    </xf>
    <xf numFmtId="0" fontId="33" fillId="0" borderId="8" xfId="90" applyFont="1" applyFill="1" applyBorder="1" applyAlignment="1">
      <alignment horizontal="center" vertical="center" wrapText="1"/>
    </xf>
    <xf numFmtId="0" fontId="33" fillId="0" borderId="8" xfId="90" applyFont="1" applyFill="1" applyBorder="1" applyAlignment="1">
      <alignment horizontal="justify" vertical="center" wrapText="1"/>
    </xf>
    <xf numFmtId="164" fontId="33" fillId="0" borderId="8" xfId="1" applyNumberFormat="1" applyFont="1" applyFill="1" applyBorder="1" applyAlignment="1">
      <alignment horizontal="center" vertical="center" wrapText="1"/>
    </xf>
    <xf numFmtId="171" fontId="33" fillId="0" borderId="8" xfId="1" applyNumberFormat="1" applyFont="1" applyFill="1" applyBorder="1" applyAlignment="1">
      <alignment horizontal="center" vertical="center" wrapText="1"/>
    </xf>
    <xf numFmtId="172" fontId="59" fillId="0" borderId="8" xfId="1" applyNumberFormat="1" applyFont="1" applyFill="1" applyBorder="1" applyAlignment="1">
      <alignment horizontal="center" vertical="center" wrapText="1"/>
    </xf>
    <xf numFmtId="171" fontId="59" fillId="0" borderId="8" xfId="1" applyNumberFormat="1" applyFont="1" applyFill="1" applyBorder="1" applyAlignment="1">
      <alignment horizontal="right" vertical="center" wrapText="1"/>
    </xf>
    <xf numFmtId="164" fontId="59" fillId="0" borderId="8" xfId="1" applyFont="1" applyFill="1" applyBorder="1" applyAlignment="1">
      <alignment horizontal="right" vertical="center" wrapText="1"/>
    </xf>
    <xf numFmtId="164" fontId="33" fillId="0" borderId="8" xfId="1" applyFont="1" applyFill="1" applyBorder="1" applyAlignment="1">
      <alignment horizontal="right" vertical="center" wrapText="1"/>
    </xf>
    <xf numFmtId="0" fontId="33" fillId="0" borderId="8" xfId="89" applyFont="1" applyFill="1" applyBorder="1"/>
    <xf numFmtId="164" fontId="34" fillId="0" borderId="8" xfId="89" applyNumberFormat="1" applyFont="1" applyFill="1" applyBorder="1"/>
    <xf numFmtId="49" fontId="33" fillId="0" borderId="8" xfId="0" applyNumberFormat="1" applyFont="1" applyFill="1" applyBorder="1" applyAlignment="1">
      <alignment horizontal="justify" vertical="center" wrapText="1"/>
    </xf>
    <xf numFmtId="0" fontId="33" fillId="0" borderId="8" xfId="0" applyFont="1" applyFill="1" applyBorder="1" applyAlignment="1">
      <alignment horizontal="center" vertical="center" wrapText="1"/>
    </xf>
    <xf numFmtId="49" fontId="33" fillId="0" borderId="0" xfId="89" applyNumberFormat="1" applyFont="1" applyFill="1" applyBorder="1" applyAlignment="1">
      <alignment horizontal="center" vertical="center" wrapText="1"/>
    </xf>
    <xf numFmtId="0" fontId="33" fillId="0" borderId="0" xfId="89" applyFont="1" applyFill="1" applyBorder="1" applyAlignment="1">
      <alignment horizontal="left" vertical="center"/>
    </xf>
    <xf numFmtId="0" fontId="33" fillId="0" borderId="0" xfId="89" applyFont="1" applyFill="1" applyBorder="1" applyAlignment="1">
      <alignment vertical="center"/>
    </xf>
    <xf numFmtId="49" fontId="33" fillId="0" borderId="0" xfId="89" applyNumberFormat="1" applyFont="1" applyFill="1" applyBorder="1" applyAlignment="1">
      <alignment horizontal="center" vertical="center"/>
    </xf>
    <xf numFmtId="0" fontId="44" fillId="24" borderId="0" xfId="0" applyFont="1" applyFill="1" applyBorder="1" applyAlignment="1">
      <alignment horizontal="left"/>
    </xf>
    <xf numFmtId="0" fontId="36" fillId="24" borderId="0" xfId="0" applyFont="1" applyFill="1" applyBorder="1" applyAlignment="1">
      <alignment horizontal="left" vertical="center"/>
    </xf>
    <xf numFmtId="0" fontId="62" fillId="24" borderId="0" xfId="0" applyFont="1" applyFill="1" applyBorder="1" applyAlignment="1">
      <alignment horizontal="left"/>
    </xf>
    <xf numFmtId="0" fontId="34" fillId="0" borderId="8" xfId="0" applyFont="1" applyFill="1" applyBorder="1" applyAlignment="1">
      <alignment horizontal="right" vertical="center"/>
    </xf>
    <xf numFmtId="4" fontId="34" fillId="0" borderId="8" xfId="1" applyNumberFormat="1" applyFont="1" applyFill="1" applyBorder="1" applyAlignment="1">
      <alignment horizontal="right" vertical="center"/>
    </xf>
    <xf numFmtId="0" fontId="28" fillId="24" borderId="0" xfId="0" applyFont="1" applyFill="1" applyBorder="1" applyAlignment="1">
      <alignment horizontal="center" vertical="center"/>
    </xf>
    <xf numFmtId="0" fontId="34" fillId="25" borderId="8" xfId="0" applyFont="1" applyFill="1" applyBorder="1" applyAlignment="1">
      <alignment horizontal="center" vertical="center"/>
    </xf>
    <xf numFmtId="0" fontId="34" fillId="25" borderId="8" xfId="0" applyFont="1" applyFill="1" applyBorder="1" applyAlignment="1">
      <alignment horizontal="center" vertical="center" wrapText="1"/>
    </xf>
    <xf numFmtId="4" fontId="33" fillId="24" borderId="0" xfId="0" applyNumberFormat="1" applyFont="1" applyFill="1" applyBorder="1" applyAlignment="1">
      <alignment horizontal="center" vertical="top" wrapText="1"/>
    </xf>
    <xf numFmtId="4" fontId="34" fillId="24" borderId="2" xfId="0" applyNumberFormat="1" applyFont="1" applyFill="1" applyBorder="1" applyAlignment="1">
      <alignment horizontal="center" vertical="top" wrapText="1"/>
    </xf>
    <xf numFmtId="0" fontId="36" fillId="0" borderId="0" xfId="82" applyFont="1" applyFill="1" applyBorder="1" applyAlignment="1">
      <alignment horizontal="center" vertical="center"/>
    </xf>
    <xf numFmtId="0" fontId="38" fillId="0" borderId="0" xfId="83" applyFont="1" applyBorder="1" applyAlignment="1">
      <alignment horizontal="left" vertical="center" wrapText="1"/>
    </xf>
    <xf numFmtId="0" fontId="43" fillId="26" borderId="8" xfId="82" applyFont="1" applyFill="1" applyBorder="1" applyAlignment="1">
      <alignment horizontal="center" vertical="center"/>
    </xf>
    <xf numFmtId="40" fontId="43" fillId="26" borderId="8" xfId="82" applyNumberFormat="1" applyFont="1" applyFill="1" applyBorder="1" applyAlignment="1">
      <alignment horizontal="center" vertical="center"/>
    </xf>
    <xf numFmtId="4" fontId="34" fillId="24" borderId="2" xfId="0" applyNumberFormat="1" applyFont="1" applyFill="1" applyBorder="1" applyAlignment="1">
      <alignment horizontal="center" vertical="center" wrapText="1"/>
    </xf>
    <xf numFmtId="4" fontId="33" fillId="24" borderId="0" xfId="0" applyNumberFormat="1" applyFont="1" applyFill="1" applyBorder="1" applyAlignment="1">
      <alignment horizontal="center" vertical="center" wrapText="1"/>
    </xf>
    <xf numFmtId="0" fontId="40" fillId="29" borderId="8" xfId="0" applyFont="1" applyFill="1" applyBorder="1" applyAlignment="1">
      <alignment horizontal="center" vertical="center"/>
    </xf>
    <xf numFmtId="49" fontId="40" fillId="0" borderId="8" xfId="0" applyNumberFormat="1" applyFont="1" applyFill="1" applyBorder="1" applyAlignment="1">
      <alignment horizontal="center" vertical="center"/>
    </xf>
    <xf numFmtId="0" fontId="40" fillId="0" borderId="8" xfId="0" applyNumberFormat="1" applyFont="1" applyFill="1" applyBorder="1" applyAlignment="1">
      <alignment horizontal="center" vertical="center"/>
    </xf>
    <xf numFmtId="164" fontId="40" fillId="29" borderId="8" xfId="1" applyFont="1" applyFill="1" applyBorder="1" applyAlignment="1">
      <alignment horizontal="right" vertical="center"/>
    </xf>
    <xf numFmtId="4" fontId="40" fillId="0" borderId="8" xfId="0" applyNumberFormat="1" applyFont="1" applyFill="1" applyBorder="1" applyAlignment="1">
      <alignment horizontal="left" vertical="center" wrapText="1"/>
    </xf>
    <xf numFmtId="0" fontId="40" fillId="0" borderId="8" xfId="0" applyFont="1" applyFill="1" applyBorder="1" applyAlignment="1">
      <alignment horizontal="left" vertical="center" wrapText="1"/>
    </xf>
    <xf numFmtId="4" fontId="39" fillId="0" borderId="8" xfId="1" applyNumberFormat="1" applyFont="1" applyFill="1" applyBorder="1" applyAlignment="1">
      <alignment horizontal="right" vertical="center"/>
    </xf>
    <xf numFmtId="0" fontId="40" fillId="27" borderId="8" xfId="0" applyFont="1" applyFill="1" applyBorder="1" applyAlignment="1">
      <alignment horizontal="center" vertical="center"/>
    </xf>
    <xf numFmtId="164" fontId="40" fillId="27" borderId="8" xfId="1" applyNumberFormat="1" applyFont="1" applyFill="1" applyBorder="1" applyAlignment="1">
      <alignment horizontal="center" vertical="center"/>
    </xf>
    <xf numFmtId="0" fontId="36" fillId="0" borderId="0" xfId="89" applyFont="1" applyBorder="1" applyAlignment="1">
      <alignment horizontal="center" vertical="center"/>
    </xf>
    <xf numFmtId="0" fontId="33" fillId="0" borderId="0" xfId="89" applyFont="1" applyFill="1" applyBorder="1" applyAlignment="1">
      <alignment horizontal="left" wrapText="1"/>
    </xf>
    <xf numFmtId="0" fontId="33" fillId="0" borderId="0" xfId="89" applyFont="1" applyFill="1" applyBorder="1" applyAlignment="1">
      <alignment horizontal="left"/>
    </xf>
    <xf numFmtId="0" fontId="33" fillId="0" borderId="0" xfId="89" applyFont="1" applyFill="1" applyBorder="1" applyAlignment="1">
      <alignment horizontal="left" vertical="center"/>
    </xf>
    <xf numFmtId="0" fontId="33" fillId="0" borderId="0" xfId="89" applyFont="1" applyFill="1" applyBorder="1" applyAlignment="1">
      <alignment horizontal="left" vertical="center" wrapText="1"/>
    </xf>
    <xf numFmtId="0" fontId="34" fillId="0" borderId="0" xfId="86" applyFont="1" applyAlignment="1" applyProtection="1"/>
    <xf numFmtId="10" fontId="42" fillId="32" borderId="1" xfId="88" applyNumberFormat="1" applyFont="1" applyFill="1" applyBorder="1" applyAlignment="1" applyProtection="1">
      <alignment horizontal="center" vertical="center" wrapText="1"/>
    </xf>
    <xf numFmtId="10" fontId="42" fillId="32" borderId="18" xfId="88" applyNumberFormat="1" applyFont="1" applyFill="1" applyBorder="1" applyAlignment="1" applyProtection="1">
      <alignment horizontal="center" vertical="center" wrapText="1"/>
    </xf>
    <xf numFmtId="10" fontId="42" fillId="32" borderId="3" xfId="88" applyNumberFormat="1" applyFont="1" applyFill="1" applyBorder="1" applyAlignment="1" applyProtection="1">
      <alignment horizontal="center" vertical="center" wrapText="1"/>
    </xf>
    <xf numFmtId="10" fontId="42" fillId="32" borderId="5" xfId="88" applyNumberFormat="1" applyFont="1" applyFill="1" applyBorder="1" applyAlignment="1" applyProtection="1">
      <alignment horizontal="center" vertical="center" wrapText="1"/>
    </xf>
    <xf numFmtId="0" fontId="63" fillId="0" borderId="0" xfId="87" applyNumberFormat="1" applyFont="1" applyBorder="1" applyAlignment="1">
      <alignment horizontal="center" vertical="center"/>
    </xf>
    <xf numFmtId="10" fontId="58" fillId="31" borderId="0" xfId="87" applyNumberFormat="1" applyFont="1" applyFill="1" applyBorder="1" applyAlignment="1" applyProtection="1">
      <alignment vertical="center" wrapText="1"/>
      <protection locked="0"/>
    </xf>
  </cellXfs>
  <cellStyles count="91">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40% - Accent1" xfId="10" xr:uid="{00000000-0005-0000-0000-000006000000}"/>
    <cellStyle name="40% - Accent2" xfId="11" xr:uid="{00000000-0005-0000-0000-000007000000}"/>
    <cellStyle name="40% - Accent3" xfId="12" xr:uid="{00000000-0005-0000-0000-000008000000}"/>
    <cellStyle name="40% - Accent4" xfId="13" xr:uid="{00000000-0005-0000-0000-000009000000}"/>
    <cellStyle name="40% - Accent5" xfId="14" xr:uid="{00000000-0005-0000-0000-00000A000000}"/>
    <cellStyle name="40% - Accent6" xfId="15" xr:uid="{00000000-0005-0000-0000-00000B000000}"/>
    <cellStyle name="60% - Accent1" xfId="16" xr:uid="{00000000-0005-0000-0000-00000C000000}"/>
    <cellStyle name="60% - Accent2" xfId="17" xr:uid="{00000000-0005-0000-0000-00000D000000}"/>
    <cellStyle name="60% - Accent3" xfId="18" xr:uid="{00000000-0005-0000-0000-00000E000000}"/>
    <cellStyle name="60% - Accent4" xfId="19" xr:uid="{00000000-0005-0000-0000-00000F000000}"/>
    <cellStyle name="60% - Accent5" xfId="20" xr:uid="{00000000-0005-0000-0000-000010000000}"/>
    <cellStyle name="60% - Accent6" xfId="21" xr:uid="{00000000-0005-0000-0000-000011000000}"/>
    <cellStyle name="Accent1" xfId="22" xr:uid="{00000000-0005-0000-0000-000012000000}"/>
    <cellStyle name="Accent2" xfId="23" xr:uid="{00000000-0005-0000-0000-000013000000}"/>
    <cellStyle name="Accent3" xfId="24" xr:uid="{00000000-0005-0000-0000-000014000000}"/>
    <cellStyle name="Accent4" xfId="25" xr:uid="{00000000-0005-0000-0000-000015000000}"/>
    <cellStyle name="Accent5" xfId="26" xr:uid="{00000000-0005-0000-0000-000016000000}"/>
    <cellStyle name="Accent6" xfId="27" xr:uid="{00000000-0005-0000-0000-000017000000}"/>
    <cellStyle name="asd" xfId="28" xr:uid="{00000000-0005-0000-0000-000018000000}"/>
    <cellStyle name="Bad" xfId="29" xr:uid="{00000000-0005-0000-0000-000019000000}"/>
    <cellStyle name="Calculation" xfId="30" xr:uid="{00000000-0005-0000-0000-00001A000000}"/>
    <cellStyle name="Check Cell" xfId="31" xr:uid="{00000000-0005-0000-0000-00001B000000}"/>
    <cellStyle name="Comma 2" xfId="32" xr:uid="{00000000-0005-0000-0000-00001C000000}"/>
    <cellStyle name="Comma 2 2" xfId="63" xr:uid="{00000000-0005-0000-0000-00001D000000}"/>
    <cellStyle name="Euro" xfId="33" xr:uid="{00000000-0005-0000-0000-00001E000000}"/>
    <cellStyle name="Euro 2" xfId="64" xr:uid="{00000000-0005-0000-0000-00001F000000}"/>
    <cellStyle name="Explanatory Text" xfId="34" xr:uid="{00000000-0005-0000-0000-000020000000}"/>
    <cellStyle name="Good" xfId="35" xr:uid="{00000000-0005-0000-0000-000021000000}"/>
    <cellStyle name="Heading 1" xfId="36" xr:uid="{00000000-0005-0000-0000-000022000000}"/>
    <cellStyle name="Heading 2" xfId="37" xr:uid="{00000000-0005-0000-0000-000023000000}"/>
    <cellStyle name="Heading 3" xfId="38" xr:uid="{00000000-0005-0000-0000-000024000000}"/>
    <cellStyle name="Heading 4" xfId="39" xr:uid="{00000000-0005-0000-0000-000025000000}"/>
    <cellStyle name="Input" xfId="40" xr:uid="{00000000-0005-0000-0000-000026000000}"/>
    <cellStyle name="Linked Cell" xfId="41" xr:uid="{00000000-0005-0000-0000-000027000000}"/>
    <cellStyle name="Moeda 2" xfId="42" xr:uid="{00000000-0005-0000-0000-000028000000}"/>
    <cellStyle name="Moeda 2 2" xfId="84" xr:uid="{00000000-0005-0000-0000-000029000000}"/>
    <cellStyle name="Neutral" xfId="43" xr:uid="{00000000-0005-0000-0000-00002A000000}"/>
    <cellStyle name="Normal" xfId="0" builtinId="0"/>
    <cellStyle name="Normal 11 2" xfId="82" xr:uid="{00000000-0005-0000-0000-00002C000000}"/>
    <cellStyle name="Normal 2" xfId="44" xr:uid="{00000000-0005-0000-0000-00002D000000}"/>
    <cellStyle name="Normal 2 2" xfId="86" xr:uid="{00000000-0005-0000-0000-00002E000000}"/>
    <cellStyle name="Normal 3" xfId="3" xr:uid="{00000000-0005-0000-0000-00002F000000}"/>
    <cellStyle name="Normal 3 2" xfId="62" xr:uid="{00000000-0005-0000-0000-000030000000}"/>
    <cellStyle name="Normal 4" xfId="56" xr:uid="{00000000-0005-0000-0000-000031000000}"/>
    <cellStyle name="Normal 4 2" xfId="59" xr:uid="{00000000-0005-0000-0000-000032000000}"/>
    <cellStyle name="Normal 4 2 2" xfId="74" xr:uid="{00000000-0005-0000-0000-000033000000}"/>
    <cellStyle name="Normal 4 3" xfId="73" xr:uid="{00000000-0005-0000-0000-000034000000}"/>
    <cellStyle name="Normal 5" xfId="83" xr:uid="{00000000-0005-0000-0000-000035000000}"/>
    <cellStyle name="Normal 6" xfId="87" xr:uid="{D74D465C-54A2-4A31-9245-7261D14E8448}"/>
    <cellStyle name="Normal 7" xfId="89" xr:uid="{4AF09664-4BC7-4AFD-A632-AA0F3D5DF738}"/>
    <cellStyle name="Normal_Pesquisa no referencial 10 de maio de 2013" xfId="90" xr:uid="{6415FBDF-4888-497D-9C2A-B6CE6AA4F762}"/>
    <cellStyle name="Note" xfId="45" xr:uid="{00000000-0005-0000-0000-000036000000}"/>
    <cellStyle name="Note 2" xfId="65" xr:uid="{00000000-0005-0000-0000-000037000000}"/>
    <cellStyle name="Output" xfId="46" xr:uid="{00000000-0005-0000-0000-000038000000}"/>
    <cellStyle name="Percent 2" xfId="47" xr:uid="{00000000-0005-0000-0000-000039000000}"/>
    <cellStyle name="Percent 2 2" xfId="66" xr:uid="{00000000-0005-0000-0000-00003A000000}"/>
    <cellStyle name="Porcentagem" xfId="81" builtinId="5"/>
    <cellStyle name="Porcentagem 2" xfId="48" xr:uid="{00000000-0005-0000-0000-00003C000000}"/>
    <cellStyle name="Porcentagem 2 2" xfId="49" xr:uid="{00000000-0005-0000-0000-00003D000000}"/>
    <cellStyle name="Porcentagem 2 2 2" xfId="68" xr:uid="{00000000-0005-0000-0000-00003E000000}"/>
    <cellStyle name="Porcentagem 2 3" xfId="67" xr:uid="{00000000-0005-0000-0000-00003F000000}"/>
    <cellStyle name="Porcentagem 3" xfId="88" xr:uid="{5429D4BF-3C9C-40DD-A1DB-B31C98F2E3DD}"/>
    <cellStyle name="Separador de milhares 2" xfId="2" xr:uid="{00000000-0005-0000-0000-000040000000}"/>
    <cellStyle name="Separador de milhares 2 2" xfId="61" xr:uid="{00000000-0005-0000-0000-000041000000}"/>
    <cellStyle name="Separador de milhares 2 2 2" xfId="76" xr:uid="{00000000-0005-0000-0000-000042000000}"/>
    <cellStyle name="Separador de milhares 3" xfId="50" xr:uid="{00000000-0005-0000-0000-000043000000}"/>
    <cellStyle name="Separador de milhares 3 2" xfId="69" xr:uid="{00000000-0005-0000-0000-000044000000}"/>
    <cellStyle name="Separador de milhares 3 2 2" xfId="77" xr:uid="{00000000-0005-0000-0000-000045000000}"/>
    <cellStyle name="Separador de milhares 6" xfId="57" xr:uid="{00000000-0005-0000-0000-000046000000}"/>
    <cellStyle name="Separador de milhares 6 2" xfId="71" xr:uid="{00000000-0005-0000-0000-000047000000}"/>
    <cellStyle name="Separador de milhares 6 2 2" xfId="79" xr:uid="{00000000-0005-0000-0000-000048000000}"/>
    <cellStyle name="Title" xfId="51" xr:uid="{00000000-0005-0000-0000-000049000000}"/>
    <cellStyle name="Título 1 1" xfId="52" xr:uid="{00000000-0005-0000-0000-00004A000000}"/>
    <cellStyle name="Título 1 1 1" xfId="53" xr:uid="{00000000-0005-0000-0000-00004B000000}"/>
    <cellStyle name="Vírgula" xfId="1" builtinId="3"/>
    <cellStyle name="Vírgula 2" xfId="55" xr:uid="{00000000-0005-0000-0000-00004D000000}"/>
    <cellStyle name="Vírgula 2 2" xfId="70" xr:uid="{00000000-0005-0000-0000-00004E000000}"/>
    <cellStyle name="Vírgula 2 2 2" xfId="78" xr:uid="{00000000-0005-0000-0000-00004F000000}"/>
    <cellStyle name="Vírgula 3" xfId="58" xr:uid="{00000000-0005-0000-0000-000050000000}"/>
    <cellStyle name="Vírgula 3 2" xfId="72" xr:uid="{00000000-0005-0000-0000-000051000000}"/>
    <cellStyle name="Vírgula 3 2 2" xfId="80" xr:uid="{00000000-0005-0000-0000-000052000000}"/>
    <cellStyle name="Vírgula 4" xfId="60" xr:uid="{00000000-0005-0000-0000-000053000000}"/>
    <cellStyle name="Vírgula 4 2" xfId="75" xr:uid="{00000000-0005-0000-0000-000054000000}"/>
    <cellStyle name="Vírgula 5" xfId="85" xr:uid="{00000000-0005-0000-0000-000055000000}"/>
    <cellStyle name="Warning Text" xfId="54" xr:uid="{00000000-0005-0000-0000-000056000000}"/>
  </cellStyles>
  <dxfs count="208">
    <dxf>
      <font>
        <condense val="0"/>
        <extend val="0"/>
        <color indexed="12"/>
      </font>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color rgb="FFFFFFFF"/>
      </font>
    </dxf>
  </dxfs>
  <tableStyles count="0" defaultTableStyle="TableStyleMedium2" defaultPivotStyle="PivotStyleLight16"/>
  <colors>
    <mruColors>
      <color rgb="FFFFFF99"/>
      <color rgb="FFFF66CC"/>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c\dfs\Users\rodrigo%20bazilato\AppData\Local\Microsoft\Windows\Temporary%20Internet%20Files\Content.Outlook\5K7GRJJ2\Mod%20Med%20CAIXA-COHAB\Cnto%20n&#186;%20018\Mucurici%20(72%20casas)\Medi&#231;&#245;es\PLANILHA%20-%20CANTEIRO%20OB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heus.VM-ENGENHARIA/Google%20Drive/PREFEITURA%20DE%20ITARANA/Jur&#237;dica/Creche%20-%20Centro/Novo%20or&#231;amento/BDI%20-%20Calculo%20Automatico%20-%20V1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e Medição"/>
      <sheetName val="RESUMO"/>
    </sheetNames>
    <sheetDataSet>
      <sheetData sheetId="0" refreshError="1"/>
      <sheetData sheetId="1">
        <row r="2">
          <cell r="M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V25"/>
  <sheetViews>
    <sheetView showGridLines="0" tabSelected="1" showWhiteSpace="0" view="pageBreakPreview" zoomScale="110" zoomScaleNormal="100" zoomScaleSheetLayoutView="110" workbookViewId="0">
      <selection activeCell="A11" sqref="A11"/>
    </sheetView>
  </sheetViews>
  <sheetFormatPr defaultColWidth="10.6640625" defaultRowHeight="15" customHeight="1" x14ac:dyDescent="0.25"/>
  <cols>
    <col min="1" max="4" width="9.109375" style="29"/>
    <col min="5" max="10" width="10.6640625" style="29"/>
    <col min="11" max="48" width="10.6640625" style="15"/>
    <col min="49" max="16384" width="10.6640625" style="1"/>
  </cols>
  <sheetData>
    <row r="2" spans="1:48" ht="15" customHeight="1" x14ac:dyDescent="0.25">
      <c r="A2" s="18"/>
      <c r="B2" s="18"/>
      <c r="C2" s="18"/>
      <c r="D2" s="18"/>
      <c r="E2" s="18"/>
      <c r="F2" s="18"/>
      <c r="G2" s="18"/>
      <c r="H2" s="18"/>
      <c r="I2" s="18"/>
      <c r="J2" s="18"/>
    </row>
    <row r="3" spans="1:48" ht="15" customHeight="1" x14ac:dyDescent="0.25">
      <c r="A3" s="18"/>
      <c r="B3" s="18"/>
      <c r="C3" s="18"/>
      <c r="D3" s="18"/>
      <c r="E3" s="18"/>
      <c r="F3" s="18"/>
      <c r="G3" s="18"/>
      <c r="H3" s="18"/>
      <c r="I3" s="18"/>
      <c r="J3" s="18"/>
    </row>
    <row r="4" spans="1:48" ht="15" customHeight="1" x14ac:dyDescent="0.25">
      <c r="A4" s="18"/>
      <c r="B4" s="18"/>
      <c r="C4" s="18"/>
      <c r="D4" s="18"/>
      <c r="E4" s="18"/>
      <c r="F4" s="18"/>
      <c r="G4" s="18"/>
      <c r="H4" s="18"/>
      <c r="I4" s="18"/>
      <c r="J4" s="18"/>
    </row>
    <row r="5" spans="1:48" ht="15" customHeight="1" x14ac:dyDescent="0.25">
      <c r="A5" s="18"/>
      <c r="B5" s="18"/>
      <c r="C5" s="18"/>
      <c r="D5" s="18"/>
      <c r="E5" s="18"/>
      <c r="F5" s="18"/>
      <c r="G5" s="18"/>
      <c r="H5" s="18"/>
      <c r="I5" s="18"/>
      <c r="J5" s="18"/>
    </row>
    <row r="6" spans="1:48" s="2" customFormat="1" ht="15" customHeight="1" x14ac:dyDescent="0.25">
      <c r="A6" s="18"/>
      <c r="B6" s="18"/>
      <c r="C6" s="18"/>
      <c r="D6" s="18"/>
      <c r="E6" s="18"/>
      <c r="F6" s="18"/>
      <c r="G6" s="18"/>
      <c r="H6" s="18"/>
      <c r="I6" s="18"/>
      <c r="J6" s="18"/>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5" customHeight="1" x14ac:dyDescent="0.25">
      <c r="A7" s="18"/>
      <c r="B7" s="18"/>
      <c r="C7" s="18"/>
      <c r="D7" s="18"/>
      <c r="E7" s="18"/>
      <c r="F7" s="18"/>
      <c r="G7" s="18"/>
      <c r="H7" s="18"/>
      <c r="I7" s="18"/>
      <c r="J7" s="18"/>
    </row>
    <row r="8" spans="1:48" ht="12.75" customHeight="1" x14ac:dyDescent="0.25">
      <c r="A8" s="18"/>
      <c r="B8" s="18"/>
      <c r="C8" s="18"/>
      <c r="D8" s="18"/>
      <c r="E8" s="18"/>
      <c r="F8" s="18"/>
      <c r="G8" s="18"/>
      <c r="H8" s="18"/>
      <c r="I8" s="18"/>
      <c r="J8" s="18"/>
    </row>
    <row r="9" spans="1:48" ht="60" customHeight="1" x14ac:dyDescent="0.25">
      <c r="A9" s="18"/>
      <c r="B9" s="18"/>
      <c r="C9" s="18"/>
      <c r="D9" s="18"/>
      <c r="E9" s="18"/>
      <c r="F9" s="18"/>
      <c r="G9" s="18"/>
      <c r="H9" s="18"/>
      <c r="I9" s="18"/>
      <c r="J9" s="18"/>
    </row>
    <row r="10" spans="1:48" ht="25.5" customHeight="1" x14ac:dyDescent="0.25">
      <c r="A10" s="311" t="s">
        <v>140</v>
      </c>
      <c r="B10" s="311"/>
      <c r="C10" s="311"/>
      <c r="D10" s="311"/>
      <c r="E10" s="311"/>
      <c r="F10" s="311"/>
      <c r="G10" s="311"/>
      <c r="H10" s="311"/>
      <c r="I10" s="132"/>
      <c r="J10" s="18"/>
    </row>
    <row r="11" spans="1:48" ht="22.5" customHeight="1" x14ac:dyDescent="0.3">
      <c r="A11" s="133" t="s">
        <v>145</v>
      </c>
      <c r="B11" s="134"/>
      <c r="C11" s="134"/>
      <c r="D11" s="134"/>
      <c r="E11" s="134"/>
      <c r="F11" s="134"/>
      <c r="G11" s="134"/>
      <c r="H11" s="134"/>
      <c r="I11" s="132"/>
      <c r="J11" s="18"/>
    </row>
    <row r="12" spans="1:48" ht="126" customHeight="1" x14ac:dyDescent="0.25">
      <c r="A12" s="312" t="s">
        <v>144</v>
      </c>
      <c r="B12" s="310"/>
      <c r="C12" s="310"/>
      <c r="D12" s="310"/>
      <c r="E12" s="310"/>
      <c r="F12" s="310"/>
      <c r="G12" s="310"/>
      <c r="H12" s="310"/>
      <c r="I12" s="310"/>
      <c r="J12" s="18"/>
    </row>
    <row r="13" spans="1:48" ht="24.9" customHeight="1" x14ac:dyDescent="0.35">
      <c r="A13" s="310" t="s">
        <v>15</v>
      </c>
      <c r="B13" s="310"/>
      <c r="C13" s="310"/>
      <c r="D13" s="310"/>
      <c r="E13" s="310"/>
      <c r="F13" s="310"/>
      <c r="G13" s="310"/>
      <c r="H13" s="310"/>
      <c r="I13" s="242"/>
      <c r="J13" s="113"/>
    </row>
    <row r="14" spans="1:48" ht="24.9" customHeight="1" x14ac:dyDescent="0.35">
      <c r="A14" s="310" t="s">
        <v>21</v>
      </c>
      <c r="B14" s="310"/>
      <c r="C14" s="310"/>
      <c r="D14" s="310"/>
      <c r="E14" s="310"/>
      <c r="F14" s="310"/>
      <c r="G14" s="310"/>
      <c r="H14" s="310"/>
      <c r="I14" s="242"/>
      <c r="J14" s="113"/>
    </row>
    <row r="15" spans="1:48" ht="24.9" customHeight="1" x14ac:dyDescent="0.35">
      <c r="A15" s="310" t="s">
        <v>20</v>
      </c>
      <c r="B15" s="310"/>
      <c r="C15" s="310"/>
      <c r="D15" s="310"/>
      <c r="E15" s="310"/>
      <c r="F15" s="310"/>
      <c r="G15" s="310"/>
      <c r="H15" s="310"/>
      <c r="I15" s="242"/>
      <c r="J15" s="113"/>
    </row>
    <row r="16" spans="1:48" ht="24.9" customHeight="1" x14ac:dyDescent="0.25">
      <c r="A16" s="310" t="s">
        <v>121</v>
      </c>
      <c r="B16" s="310"/>
      <c r="C16" s="310"/>
      <c r="D16" s="310"/>
      <c r="E16" s="310"/>
      <c r="F16" s="310"/>
      <c r="G16" s="310"/>
      <c r="H16" s="310"/>
      <c r="I16" s="242"/>
      <c r="J16" s="18"/>
    </row>
    <row r="17" spans="1:10" ht="24.9" customHeight="1" x14ac:dyDescent="0.25">
      <c r="A17" s="241" t="s">
        <v>202</v>
      </c>
      <c r="B17" s="241"/>
      <c r="C17" s="241"/>
      <c r="D17" s="241"/>
      <c r="E17" s="241"/>
      <c r="F17" s="241"/>
      <c r="G17" s="241"/>
      <c r="H17" s="241"/>
      <c r="I17" s="241"/>
      <c r="J17" s="18"/>
    </row>
    <row r="18" spans="1:10" ht="24.9" customHeight="1" x14ac:dyDescent="0.25">
      <c r="A18" s="241" t="s">
        <v>347</v>
      </c>
      <c r="B18" s="241"/>
      <c r="C18" s="241"/>
      <c r="D18" s="241"/>
      <c r="E18" s="241"/>
      <c r="F18" s="241"/>
      <c r="G18" s="241"/>
      <c r="H18" s="241"/>
      <c r="I18" s="241"/>
      <c r="J18" s="18"/>
    </row>
    <row r="19" spans="1:10" ht="24.9" customHeight="1" x14ac:dyDescent="0.35">
      <c r="A19" s="241" t="s">
        <v>234</v>
      </c>
      <c r="B19" s="229"/>
      <c r="C19" s="229"/>
      <c r="D19" s="229"/>
      <c r="E19" s="229"/>
      <c r="F19" s="229"/>
      <c r="G19" s="229"/>
      <c r="H19" s="229"/>
      <c r="I19" s="241"/>
      <c r="J19" s="113"/>
    </row>
    <row r="20" spans="1:10" ht="24.9" customHeight="1" x14ac:dyDescent="0.35">
      <c r="A20" s="310" t="s">
        <v>67</v>
      </c>
      <c r="B20" s="310"/>
      <c r="C20" s="310"/>
      <c r="D20" s="310"/>
      <c r="E20" s="310"/>
      <c r="F20" s="310"/>
      <c r="G20" s="310"/>
      <c r="H20" s="310"/>
      <c r="I20" s="241"/>
      <c r="J20" s="113"/>
    </row>
    <row r="21" spans="1:10" ht="24.9" customHeight="1" x14ac:dyDescent="0.25">
      <c r="A21" s="133"/>
      <c r="B21" s="18"/>
      <c r="C21" s="18"/>
      <c r="D21" s="18"/>
      <c r="E21" s="18"/>
      <c r="F21" s="18"/>
      <c r="G21" s="18"/>
      <c r="H21" s="18"/>
      <c r="I21" s="18"/>
      <c r="J21" s="18"/>
    </row>
    <row r="22" spans="1:10" ht="15" customHeight="1" x14ac:dyDescent="0.25">
      <c r="A22" s="18"/>
      <c r="B22" s="18"/>
      <c r="C22" s="18"/>
      <c r="D22" s="18"/>
      <c r="E22" s="18"/>
      <c r="F22" s="18"/>
      <c r="G22" s="18"/>
      <c r="H22" s="18"/>
      <c r="I22" s="18"/>
      <c r="J22" s="19"/>
    </row>
    <row r="23" spans="1:10" ht="29.25" customHeight="1" x14ac:dyDescent="0.25">
      <c r="A23" s="310"/>
      <c r="B23" s="310"/>
      <c r="C23" s="310"/>
      <c r="D23" s="310"/>
      <c r="E23" s="310"/>
      <c r="F23" s="310"/>
      <c r="G23" s="310"/>
      <c r="H23" s="310"/>
      <c r="I23" s="310"/>
      <c r="J23" s="19"/>
    </row>
    <row r="24" spans="1:10" ht="15" customHeight="1" x14ac:dyDescent="0.25">
      <c r="A24" s="310"/>
      <c r="B24" s="310"/>
      <c r="C24" s="310"/>
      <c r="D24" s="310"/>
      <c r="E24" s="310"/>
      <c r="F24" s="310"/>
      <c r="G24" s="310"/>
      <c r="H24" s="310"/>
      <c r="I24" s="310"/>
      <c r="J24" s="17"/>
    </row>
    <row r="25" spans="1:10" ht="15" customHeight="1" x14ac:dyDescent="0.25">
      <c r="A25" s="17"/>
      <c r="B25" s="17"/>
      <c r="C25" s="17"/>
      <c r="D25" s="17"/>
      <c r="E25" s="17"/>
      <c r="F25" s="17"/>
      <c r="G25" s="17"/>
      <c r="H25" s="17"/>
      <c r="I25" s="17"/>
    </row>
  </sheetData>
  <mergeCells count="9">
    <mergeCell ref="A20:H20"/>
    <mergeCell ref="A10:H10"/>
    <mergeCell ref="A12:I12"/>
    <mergeCell ref="A23:I23"/>
    <mergeCell ref="A24:I24"/>
    <mergeCell ref="A13:H13"/>
    <mergeCell ref="A14:H14"/>
    <mergeCell ref="A15:H15"/>
    <mergeCell ref="A16:H16"/>
  </mergeCells>
  <printOptions horizontalCentered="1"/>
  <pageMargins left="0.98425196850393704" right="0.59055118110236227" top="1.1811023622047245" bottom="0.78740157480314965" header="0.47244094488188981" footer="0"/>
  <pageSetup paperSize="9" orientation="portrait" r:id="rId1"/>
  <headerFooter>
    <oddHeader>&amp;C&amp;"MV Boli,Normal Negrito"&amp;20&amp;G</oddHeader>
    <oddFooter xml:space="preserve">&amp;C&amp;"Trebuchet MS,Itálico"&amp;9Rua Pedro Caetano Domingues, nº 33, Quincas Machado, Guaçuí – ES / CNPJ: 21.861.470/0001-10 
       contato.vmengenharia@gmail.com / (28) 9 9963 2562 / (28) 9 9966 6524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3"/>
  <sheetViews>
    <sheetView view="pageBreakPreview" zoomScale="140" zoomScaleNormal="100" zoomScaleSheetLayoutView="140" zoomScalePageLayoutView="130" workbookViewId="0">
      <selection activeCell="J64" sqref="J61:J64"/>
    </sheetView>
  </sheetViews>
  <sheetFormatPr defaultColWidth="10.6640625" defaultRowHeight="13.2" x14ac:dyDescent="0.25"/>
  <cols>
    <col min="1" max="1" width="6.33203125" style="7" customWidth="1"/>
    <col min="2" max="2" width="8" style="7" customWidth="1"/>
    <col min="3" max="3" width="5" style="7" customWidth="1"/>
    <col min="4" max="4" width="37.44140625" style="28" customWidth="1"/>
    <col min="5" max="5" width="4.5546875" style="7" customWidth="1"/>
    <col min="6" max="6" width="6.6640625" style="7" customWidth="1"/>
    <col min="7" max="7" width="9.33203125" style="5" customWidth="1"/>
    <col min="8" max="8" width="9.5546875" style="5" customWidth="1"/>
    <col min="9" max="9" width="10.6640625" style="14" customWidth="1"/>
    <col min="10" max="10" width="10.44140625" style="5" customWidth="1"/>
    <col min="11" max="11" width="11.5546875" style="14" customWidth="1"/>
    <col min="12" max="29" width="10.6640625" style="14"/>
    <col min="30" max="16384" width="10.6640625" style="7"/>
  </cols>
  <sheetData>
    <row r="1" spans="1:29" s="3" customFormat="1" ht="26.25" customHeight="1" x14ac:dyDescent="0.25">
      <c r="A1" s="315" t="s">
        <v>15</v>
      </c>
      <c r="B1" s="315"/>
      <c r="C1" s="315"/>
      <c r="D1" s="315"/>
      <c r="E1" s="315"/>
      <c r="F1" s="315"/>
      <c r="G1" s="315"/>
      <c r="H1" s="315"/>
      <c r="I1" s="12"/>
      <c r="J1" s="12"/>
      <c r="K1" s="12"/>
      <c r="L1" s="12"/>
      <c r="M1" s="12"/>
      <c r="N1" s="12"/>
      <c r="O1" s="12"/>
      <c r="P1" s="12"/>
      <c r="Q1" s="12"/>
      <c r="R1" s="12"/>
      <c r="S1" s="12"/>
      <c r="T1" s="12"/>
      <c r="U1" s="12"/>
      <c r="V1" s="12"/>
      <c r="W1" s="12"/>
      <c r="X1" s="12"/>
      <c r="Y1" s="12"/>
      <c r="Z1" s="12"/>
      <c r="AA1" s="12"/>
      <c r="AB1" s="12"/>
      <c r="AC1" s="12"/>
    </row>
    <row r="2" spans="1:29" s="3" customFormat="1" ht="15" customHeight="1" x14ac:dyDescent="0.25">
      <c r="A2" s="25" t="s">
        <v>184</v>
      </c>
      <c r="B2" s="25"/>
      <c r="C2" s="25"/>
      <c r="D2" s="25"/>
      <c r="E2" s="150"/>
      <c r="F2" s="151"/>
      <c r="G2" s="152"/>
      <c r="H2" s="243" t="s">
        <v>208</v>
      </c>
      <c r="I2" s="12"/>
      <c r="J2" s="24"/>
      <c r="K2" s="30"/>
      <c r="L2" s="12"/>
      <c r="M2" s="12"/>
      <c r="N2" s="12"/>
      <c r="O2" s="12"/>
      <c r="P2" s="12"/>
      <c r="Q2" s="12"/>
      <c r="R2" s="12"/>
      <c r="S2" s="12"/>
      <c r="T2" s="12"/>
      <c r="U2" s="12"/>
      <c r="V2" s="12"/>
      <c r="W2" s="12"/>
      <c r="X2" s="12"/>
      <c r="Y2" s="12"/>
      <c r="Z2" s="12"/>
      <c r="AA2" s="12"/>
      <c r="AB2" s="12"/>
      <c r="AC2" s="12"/>
    </row>
    <row r="3" spans="1:29" s="3" customFormat="1" ht="15.75" customHeight="1" x14ac:dyDescent="0.25">
      <c r="A3" s="25" t="s">
        <v>185</v>
      </c>
      <c r="B3" s="25"/>
      <c r="C3" s="25"/>
      <c r="D3" s="24"/>
      <c r="E3" s="153" t="s">
        <v>186</v>
      </c>
      <c r="F3" s="154"/>
      <c r="G3" s="155" t="s">
        <v>274</v>
      </c>
      <c r="H3" s="244" t="s">
        <v>187</v>
      </c>
      <c r="I3" s="12"/>
      <c r="J3" s="24"/>
      <c r="K3" s="30"/>
      <c r="L3" s="12"/>
      <c r="M3" s="12"/>
      <c r="N3" s="12"/>
      <c r="O3" s="12"/>
      <c r="P3" s="12"/>
      <c r="Q3" s="12"/>
      <c r="R3" s="12"/>
      <c r="S3" s="12"/>
      <c r="T3" s="12"/>
      <c r="U3" s="12"/>
      <c r="V3" s="12"/>
      <c r="W3" s="12"/>
      <c r="X3" s="12"/>
      <c r="Y3" s="12"/>
      <c r="Z3" s="12"/>
      <c r="AA3" s="12"/>
      <c r="AB3" s="12"/>
      <c r="AC3" s="12"/>
    </row>
    <row r="4" spans="1:29" s="4" customFormat="1" x14ac:dyDescent="0.25">
      <c r="A4" s="316" t="s">
        <v>1</v>
      </c>
      <c r="B4" s="316" t="s">
        <v>22</v>
      </c>
      <c r="C4" s="316" t="s">
        <v>0</v>
      </c>
      <c r="D4" s="317" t="s">
        <v>2</v>
      </c>
      <c r="E4" s="316" t="s">
        <v>19</v>
      </c>
      <c r="F4" s="316" t="s">
        <v>27</v>
      </c>
      <c r="G4" s="316" t="s">
        <v>18</v>
      </c>
      <c r="H4" s="316"/>
      <c r="I4" s="13"/>
      <c r="J4" s="13"/>
      <c r="K4" s="13"/>
      <c r="L4" s="13"/>
      <c r="M4" s="13"/>
      <c r="N4" s="13"/>
      <c r="O4" s="13"/>
      <c r="P4" s="13"/>
      <c r="Q4" s="13"/>
      <c r="R4" s="13"/>
      <c r="S4" s="13"/>
      <c r="T4" s="13"/>
      <c r="U4" s="13"/>
      <c r="V4" s="13"/>
      <c r="W4" s="13"/>
      <c r="X4" s="13"/>
      <c r="Y4" s="13"/>
      <c r="Z4" s="13"/>
      <c r="AA4" s="13"/>
      <c r="AB4" s="13"/>
      <c r="AC4" s="13"/>
    </row>
    <row r="5" spans="1:29" s="4" customFormat="1" x14ac:dyDescent="0.25">
      <c r="A5" s="316"/>
      <c r="B5" s="316"/>
      <c r="C5" s="316"/>
      <c r="D5" s="317"/>
      <c r="E5" s="316"/>
      <c r="F5" s="316"/>
      <c r="G5" s="20" t="s">
        <v>17</v>
      </c>
      <c r="H5" s="20" t="s">
        <v>6</v>
      </c>
      <c r="I5" s="13"/>
      <c r="J5" s="20" t="s">
        <v>17</v>
      </c>
      <c r="K5" s="13"/>
      <c r="L5" s="13"/>
      <c r="M5" s="13"/>
      <c r="N5" s="13"/>
      <c r="O5" s="13"/>
      <c r="P5" s="13"/>
      <c r="Q5" s="13"/>
      <c r="R5" s="13"/>
      <c r="S5" s="13"/>
      <c r="T5" s="13"/>
      <c r="U5" s="13"/>
      <c r="V5" s="13"/>
      <c r="W5" s="13"/>
      <c r="X5" s="13"/>
      <c r="Y5" s="13"/>
      <c r="Z5" s="13"/>
      <c r="AA5" s="13"/>
      <c r="AB5" s="13"/>
      <c r="AC5" s="13"/>
    </row>
    <row r="6" spans="1:29" s="4" customFormat="1" x14ac:dyDescent="0.25">
      <c r="A6" s="156"/>
      <c r="B6" s="156"/>
      <c r="C6" s="157" t="s">
        <v>42</v>
      </c>
      <c r="D6" s="158" t="s">
        <v>30</v>
      </c>
      <c r="E6" s="156"/>
      <c r="F6" s="159"/>
      <c r="G6" s="160"/>
      <c r="H6" s="161"/>
      <c r="I6" s="13"/>
      <c r="J6" s="20"/>
      <c r="K6" s="13"/>
      <c r="L6" s="13"/>
      <c r="M6" s="13"/>
      <c r="N6" s="13"/>
      <c r="O6" s="13"/>
      <c r="P6" s="13"/>
      <c r="Q6" s="13"/>
      <c r="R6" s="13"/>
      <c r="S6" s="13"/>
      <c r="T6" s="13"/>
      <c r="U6" s="13"/>
      <c r="V6" s="13"/>
      <c r="W6" s="13"/>
      <c r="X6" s="13"/>
      <c r="Y6" s="13"/>
      <c r="Z6" s="13"/>
      <c r="AA6" s="13"/>
      <c r="AB6" s="13"/>
      <c r="AC6" s="13"/>
    </row>
    <row r="7" spans="1:29" s="4" customFormat="1" x14ac:dyDescent="0.25">
      <c r="A7" s="162" t="s">
        <v>238</v>
      </c>
      <c r="B7" s="162">
        <v>8</v>
      </c>
      <c r="C7" s="162" t="s">
        <v>43</v>
      </c>
      <c r="D7" s="228" t="str">
        <f>'COMPOSIÇÕES (2)'!B151</f>
        <v>ADMINISTRATIVO LOCAL</v>
      </c>
      <c r="E7" s="162" t="s">
        <v>77</v>
      </c>
      <c r="F7" s="164">
        <f>'Memória de cálculo'!I8</f>
        <v>1</v>
      </c>
      <c r="G7" s="173">
        <f>J7*1.285</f>
        <v>6799.71</v>
      </c>
      <c r="H7" s="165">
        <f>ROUND(F7*G7,2)</f>
        <v>6799.71</v>
      </c>
      <c r="I7" s="13"/>
      <c r="J7" s="43">
        <f>'COMPOSIÇÕES (2)'!F154</f>
        <v>5291.6</v>
      </c>
      <c r="K7" s="13"/>
      <c r="L7" s="13"/>
      <c r="M7" s="13"/>
      <c r="N7" s="13"/>
      <c r="O7" s="13"/>
      <c r="P7" s="13"/>
      <c r="Q7" s="13"/>
      <c r="R7" s="13"/>
      <c r="S7" s="13"/>
      <c r="T7" s="13"/>
      <c r="U7" s="13"/>
      <c r="V7" s="13"/>
      <c r="W7" s="13"/>
      <c r="X7" s="13"/>
      <c r="Y7" s="13"/>
      <c r="Z7" s="13"/>
      <c r="AA7" s="13"/>
      <c r="AB7" s="13"/>
      <c r="AC7" s="13"/>
    </row>
    <row r="8" spans="1:29" s="4" customFormat="1" x14ac:dyDescent="0.25">
      <c r="A8" s="162"/>
      <c r="B8" s="163"/>
      <c r="C8" s="162"/>
      <c r="D8" s="166" t="s">
        <v>29</v>
      </c>
      <c r="E8" s="167"/>
      <c r="F8" s="168"/>
      <c r="G8" s="165"/>
      <c r="H8" s="141">
        <f>SUM(H7:H7)</f>
        <v>6799.71</v>
      </c>
      <c r="I8" s="13"/>
      <c r="J8" s="44"/>
      <c r="K8" s="13"/>
      <c r="L8" s="13"/>
      <c r="M8" s="13"/>
      <c r="N8" s="13"/>
      <c r="O8" s="13"/>
      <c r="P8" s="13"/>
      <c r="Q8" s="13"/>
      <c r="R8" s="13"/>
      <c r="S8" s="13"/>
      <c r="T8" s="13"/>
      <c r="U8" s="13"/>
      <c r="V8" s="13"/>
      <c r="W8" s="13"/>
      <c r="X8" s="13"/>
      <c r="Y8" s="13"/>
      <c r="Z8" s="13"/>
      <c r="AA8" s="13"/>
      <c r="AB8" s="13"/>
      <c r="AC8" s="13"/>
    </row>
    <row r="9" spans="1:29" s="4" customFormat="1" x14ac:dyDescent="0.25">
      <c r="A9" s="156"/>
      <c r="B9" s="156"/>
      <c r="C9" s="157" t="s">
        <v>44</v>
      </c>
      <c r="D9" s="158" t="s">
        <v>4</v>
      </c>
      <c r="E9" s="156"/>
      <c r="F9" s="169"/>
      <c r="G9" s="170"/>
      <c r="H9" s="171"/>
      <c r="I9" s="13"/>
      <c r="J9" s="42"/>
      <c r="K9" s="13"/>
      <c r="L9" s="13"/>
      <c r="M9" s="13"/>
      <c r="N9" s="13"/>
      <c r="O9" s="13"/>
      <c r="P9" s="13"/>
      <c r="Q9" s="13"/>
      <c r="R9" s="13"/>
      <c r="S9" s="13"/>
      <c r="T9" s="13"/>
      <c r="U9" s="13"/>
      <c r="V9" s="13"/>
      <c r="W9" s="13"/>
      <c r="X9" s="13"/>
      <c r="Y9" s="13"/>
      <c r="Z9" s="13"/>
      <c r="AA9" s="13"/>
      <c r="AB9" s="13"/>
      <c r="AC9" s="13"/>
    </row>
    <row r="10" spans="1:29" s="4" customFormat="1" ht="55.5" customHeight="1" x14ac:dyDescent="0.25">
      <c r="A10" s="162" t="s">
        <v>26</v>
      </c>
      <c r="B10" s="163" t="s">
        <v>69</v>
      </c>
      <c r="C10" s="162" t="s">
        <v>45</v>
      </c>
      <c r="D10" s="304" t="s">
        <v>68</v>
      </c>
      <c r="E10" s="162" t="s">
        <v>85</v>
      </c>
      <c r="F10" s="164">
        <f>'Memória de cálculo'!I14</f>
        <v>4.7300000000000004</v>
      </c>
      <c r="G10" s="165">
        <f>J10*1.285</f>
        <v>215.35</v>
      </c>
      <c r="H10" s="165">
        <f t="shared" ref="H10:H13" si="0">ROUND(F10*G10,2)</f>
        <v>1018.61</v>
      </c>
      <c r="I10" s="13"/>
      <c r="J10" s="43">
        <v>167.59</v>
      </c>
      <c r="K10" s="13"/>
      <c r="L10" s="13"/>
      <c r="M10" s="13"/>
      <c r="N10" s="13"/>
      <c r="O10" s="13"/>
      <c r="P10" s="13"/>
      <c r="Q10" s="13"/>
      <c r="R10" s="13"/>
      <c r="S10" s="13"/>
      <c r="T10" s="13"/>
      <c r="U10" s="13"/>
      <c r="V10" s="13"/>
      <c r="W10" s="13"/>
      <c r="X10" s="13"/>
      <c r="Y10" s="13"/>
      <c r="Z10" s="13"/>
      <c r="AA10" s="13"/>
      <c r="AB10" s="13"/>
      <c r="AC10" s="13"/>
    </row>
    <row r="11" spans="1:29" s="4" customFormat="1" ht="55.5" customHeight="1" x14ac:dyDescent="0.25">
      <c r="A11" s="162" t="s">
        <v>26</v>
      </c>
      <c r="B11" s="163" t="s">
        <v>173</v>
      </c>
      <c r="C11" s="162" t="s">
        <v>72</v>
      </c>
      <c r="D11" s="304" t="s">
        <v>174</v>
      </c>
      <c r="E11" s="162" t="s">
        <v>86</v>
      </c>
      <c r="F11" s="164">
        <f>'Memória de cálculo'!I16</f>
        <v>4.91</v>
      </c>
      <c r="G11" s="165">
        <f>J11*1.285</f>
        <v>13.39</v>
      </c>
      <c r="H11" s="165">
        <f t="shared" si="0"/>
        <v>65.739999999999995</v>
      </c>
      <c r="I11" s="13"/>
      <c r="J11" s="43">
        <v>10.42</v>
      </c>
      <c r="K11" s="13"/>
      <c r="L11" s="13"/>
      <c r="M11" s="13"/>
      <c r="N11" s="13"/>
      <c r="O11" s="13"/>
      <c r="P11" s="13"/>
      <c r="Q11" s="13"/>
      <c r="R11" s="13"/>
      <c r="S11" s="13"/>
      <c r="T11" s="13"/>
      <c r="U11" s="13"/>
      <c r="V11" s="13"/>
      <c r="W11" s="13"/>
      <c r="X11" s="13"/>
      <c r="Y11" s="13"/>
      <c r="Z11" s="13"/>
      <c r="AA11" s="13"/>
      <c r="AB11" s="13"/>
      <c r="AC11" s="13"/>
    </row>
    <row r="12" spans="1:29" s="4" customFormat="1" ht="34.5" customHeight="1" x14ac:dyDescent="0.25">
      <c r="A12" s="162" t="s">
        <v>26</v>
      </c>
      <c r="B12" s="163" t="s">
        <v>241</v>
      </c>
      <c r="C12" s="162" t="s">
        <v>73</v>
      </c>
      <c r="D12" s="304" t="s">
        <v>240</v>
      </c>
      <c r="E12" s="162" t="s">
        <v>85</v>
      </c>
      <c r="F12" s="164">
        <f>'Memória de cálculo'!I19</f>
        <v>5.47</v>
      </c>
      <c r="G12" s="165">
        <f t="shared" ref="G12:G13" si="1">J12*1.285</f>
        <v>4.8099999999999996</v>
      </c>
      <c r="H12" s="165">
        <f t="shared" si="0"/>
        <v>26.31</v>
      </c>
      <c r="I12" s="13"/>
      <c r="J12" s="43">
        <v>3.74</v>
      </c>
      <c r="K12" s="13"/>
      <c r="L12" s="13"/>
      <c r="M12" s="13"/>
      <c r="N12" s="13"/>
      <c r="O12" s="13"/>
      <c r="P12" s="13"/>
      <c r="Q12" s="13"/>
      <c r="R12" s="13"/>
      <c r="S12" s="13"/>
      <c r="T12" s="13"/>
      <c r="U12" s="13"/>
      <c r="V12" s="13"/>
      <c r="W12" s="13"/>
      <c r="X12" s="13"/>
      <c r="Y12" s="13"/>
      <c r="Z12" s="13"/>
      <c r="AA12" s="13"/>
      <c r="AB12" s="13"/>
      <c r="AC12" s="13"/>
    </row>
    <row r="13" spans="1:29" s="4" customFormat="1" ht="49.5" customHeight="1" x14ac:dyDescent="0.25">
      <c r="A13" s="162" t="s">
        <v>26</v>
      </c>
      <c r="B13" s="163" t="s">
        <v>244</v>
      </c>
      <c r="C13" s="162" t="s">
        <v>242</v>
      </c>
      <c r="D13" s="304" t="s">
        <v>243</v>
      </c>
      <c r="E13" s="162" t="s">
        <v>85</v>
      </c>
      <c r="F13" s="164">
        <f>'Memória de cálculo'!I21</f>
        <v>4.7300000000000004</v>
      </c>
      <c r="G13" s="165">
        <f t="shared" si="1"/>
        <v>7.61</v>
      </c>
      <c r="H13" s="165">
        <f t="shared" si="0"/>
        <v>36</v>
      </c>
      <c r="I13" s="13"/>
      <c r="J13" s="43">
        <v>5.92</v>
      </c>
      <c r="K13" s="13"/>
      <c r="L13" s="13"/>
      <c r="M13" s="13"/>
      <c r="N13" s="13"/>
      <c r="O13" s="13"/>
      <c r="P13" s="13"/>
      <c r="Q13" s="13"/>
      <c r="R13" s="13"/>
      <c r="S13" s="13"/>
      <c r="T13" s="13"/>
      <c r="U13" s="13"/>
      <c r="V13" s="13"/>
      <c r="W13" s="13"/>
      <c r="X13" s="13"/>
      <c r="Y13" s="13"/>
      <c r="Z13" s="13"/>
      <c r="AA13" s="13"/>
      <c r="AB13" s="13"/>
      <c r="AC13" s="13"/>
    </row>
    <row r="14" spans="1:29" s="4" customFormat="1" x14ac:dyDescent="0.25">
      <c r="A14" s="162"/>
      <c r="B14" s="163"/>
      <c r="C14" s="162"/>
      <c r="D14" s="166" t="s">
        <v>29</v>
      </c>
      <c r="E14" s="167"/>
      <c r="F14" s="168"/>
      <c r="G14" s="165"/>
      <c r="H14" s="141">
        <f>SUM(H10:H13)</f>
        <v>1146.6600000000001</v>
      </c>
      <c r="I14" s="13"/>
      <c r="J14" s="44"/>
      <c r="K14" s="13"/>
      <c r="L14" s="13"/>
      <c r="M14" s="13"/>
      <c r="N14" s="13"/>
      <c r="O14" s="13"/>
      <c r="P14" s="13"/>
      <c r="Q14" s="13"/>
      <c r="R14" s="13"/>
      <c r="S14" s="13"/>
      <c r="T14" s="13"/>
      <c r="U14" s="13"/>
      <c r="V14" s="13"/>
      <c r="W14" s="13"/>
      <c r="X14" s="13"/>
      <c r="Y14" s="13"/>
      <c r="Z14" s="13"/>
      <c r="AA14" s="13"/>
      <c r="AB14" s="13"/>
      <c r="AC14" s="13"/>
    </row>
    <row r="15" spans="1:29" s="4" customFormat="1" x14ac:dyDescent="0.25">
      <c r="A15" s="156"/>
      <c r="B15" s="156"/>
      <c r="C15" s="157" t="s">
        <v>46</v>
      </c>
      <c r="D15" s="158" t="s">
        <v>25</v>
      </c>
      <c r="E15" s="156"/>
      <c r="F15" s="169"/>
      <c r="G15" s="170"/>
      <c r="H15" s="171"/>
      <c r="I15" s="13"/>
      <c r="J15" s="42"/>
      <c r="K15" s="13"/>
      <c r="L15" s="13"/>
      <c r="M15" s="13"/>
      <c r="N15" s="13"/>
      <c r="O15" s="13"/>
      <c r="P15" s="13"/>
      <c r="Q15" s="13"/>
      <c r="R15" s="13"/>
      <c r="S15" s="13"/>
      <c r="T15" s="13"/>
      <c r="U15" s="13"/>
      <c r="V15" s="13"/>
      <c r="W15" s="13"/>
      <c r="X15" s="13"/>
      <c r="Y15" s="13"/>
      <c r="Z15" s="13"/>
      <c r="AA15" s="13"/>
      <c r="AB15" s="13"/>
      <c r="AC15" s="13"/>
    </row>
    <row r="16" spans="1:29" s="4" customFormat="1" ht="21.6" x14ac:dyDescent="0.25">
      <c r="A16" s="162" t="s">
        <v>26</v>
      </c>
      <c r="B16" s="163" t="s">
        <v>76</v>
      </c>
      <c r="C16" s="162" t="s">
        <v>47</v>
      </c>
      <c r="D16" s="304" t="s">
        <v>75</v>
      </c>
      <c r="E16" s="162" t="s">
        <v>86</v>
      </c>
      <c r="F16" s="164">
        <f>'Memória de cálculo'!I24</f>
        <v>10</v>
      </c>
      <c r="G16" s="165">
        <f>J16*1.285</f>
        <v>349.06</v>
      </c>
      <c r="H16" s="165">
        <f>ROUND(F16*G16,2)</f>
        <v>3490.6</v>
      </c>
      <c r="I16" s="13"/>
      <c r="J16" s="43">
        <v>271.64</v>
      </c>
      <c r="K16" s="13"/>
      <c r="L16" s="13"/>
      <c r="M16" s="13"/>
      <c r="N16" s="13"/>
      <c r="O16" s="13"/>
      <c r="P16" s="13"/>
      <c r="Q16" s="13"/>
      <c r="R16" s="13"/>
      <c r="S16" s="13"/>
      <c r="T16" s="13"/>
      <c r="U16" s="13"/>
      <c r="V16" s="13"/>
      <c r="W16" s="13"/>
      <c r="X16" s="13"/>
      <c r="Y16" s="13"/>
      <c r="Z16" s="13"/>
      <c r="AA16" s="13"/>
      <c r="AB16" s="13"/>
      <c r="AC16" s="13"/>
    </row>
    <row r="17" spans="1:29" s="4" customFormat="1" ht="32.4" x14ac:dyDescent="0.25">
      <c r="A17" s="305" t="s">
        <v>26</v>
      </c>
      <c r="B17" s="163" t="s">
        <v>236</v>
      </c>
      <c r="C17" s="162" t="s">
        <v>48</v>
      </c>
      <c r="D17" s="304" t="s">
        <v>235</v>
      </c>
      <c r="E17" s="162" t="s">
        <v>237</v>
      </c>
      <c r="F17" s="164">
        <f>'Memória de cálculo'!I26</f>
        <v>4</v>
      </c>
      <c r="G17" s="165">
        <f t="shared" ref="G17:G21" si="2">J17*1.285</f>
        <v>648.92999999999995</v>
      </c>
      <c r="H17" s="165">
        <f t="shared" ref="H17:H21" si="3">ROUND(F17*G17,2)</f>
        <v>2595.7199999999998</v>
      </c>
      <c r="I17" s="13"/>
      <c r="J17" s="43">
        <v>505</v>
      </c>
      <c r="K17" s="13"/>
      <c r="L17" s="13"/>
      <c r="M17" s="13"/>
      <c r="N17" s="13"/>
      <c r="O17" s="13"/>
      <c r="P17" s="13"/>
      <c r="Q17" s="13"/>
      <c r="R17" s="13"/>
      <c r="S17" s="13"/>
      <c r="T17" s="13"/>
      <c r="U17" s="13"/>
      <c r="V17" s="13"/>
      <c r="W17" s="13"/>
      <c r="X17" s="13"/>
      <c r="Y17" s="13"/>
      <c r="Z17" s="13"/>
      <c r="AA17" s="13"/>
      <c r="AB17" s="13"/>
      <c r="AC17" s="13"/>
    </row>
    <row r="18" spans="1:29" s="4" customFormat="1" ht="21.6" x14ac:dyDescent="0.25">
      <c r="A18" s="162" t="s">
        <v>26</v>
      </c>
      <c r="B18" s="163" t="s">
        <v>81</v>
      </c>
      <c r="C18" s="162" t="s">
        <v>49</v>
      </c>
      <c r="D18" s="304" t="s">
        <v>80</v>
      </c>
      <c r="E18" s="162" t="s">
        <v>77</v>
      </c>
      <c r="F18" s="164">
        <f>'Memória de cálculo'!I28</f>
        <v>1</v>
      </c>
      <c r="G18" s="165">
        <f>J18*1.285</f>
        <v>1626.53</v>
      </c>
      <c r="H18" s="165">
        <f>ROUND(F18*G18,2)</f>
        <v>1626.53</v>
      </c>
      <c r="I18" s="13"/>
      <c r="J18" s="43">
        <v>1265.78</v>
      </c>
      <c r="K18" s="13"/>
      <c r="L18" s="13"/>
      <c r="M18" s="13"/>
      <c r="N18" s="13"/>
      <c r="O18" s="13"/>
      <c r="P18" s="13"/>
      <c r="Q18" s="13"/>
      <c r="R18" s="13"/>
      <c r="S18" s="13"/>
      <c r="T18" s="13"/>
      <c r="U18" s="13"/>
      <c r="V18" s="13"/>
      <c r="W18" s="13"/>
      <c r="X18" s="13"/>
      <c r="Y18" s="13"/>
      <c r="Z18" s="13"/>
      <c r="AA18" s="13"/>
      <c r="AB18" s="13"/>
      <c r="AC18" s="13"/>
    </row>
    <row r="19" spans="1:29" s="4" customFormat="1" ht="53.25" customHeight="1" x14ac:dyDescent="0.25">
      <c r="A19" s="162" t="s">
        <v>26</v>
      </c>
      <c r="B19" s="163" t="s">
        <v>246</v>
      </c>
      <c r="C19" s="162" t="s">
        <v>50</v>
      </c>
      <c r="D19" s="304" t="s">
        <v>245</v>
      </c>
      <c r="E19" s="162" t="s">
        <v>77</v>
      </c>
      <c r="F19" s="164">
        <f>'Memória de cálculo'!I30</f>
        <v>1</v>
      </c>
      <c r="G19" s="165">
        <f t="shared" si="2"/>
        <v>121.15</v>
      </c>
      <c r="H19" s="165">
        <f t="shared" si="3"/>
        <v>121.15</v>
      </c>
      <c r="I19" s="13"/>
      <c r="J19" s="43">
        <v>94.28</v>
      </c>
      <c r="K19" s="13"/>
      <c r="L19" s="13"/>
      <c r="M19" s="13"/>
      <c r="N19" s="13"/>
      <c r="O19" s="13"/>
      <c r="P19" s="13"/>
      <c r="Q19" s="13"/>
      <c r="R19" s="13"/>
      <c r="S19" s="13"/>
      <c r="T19" s="13"/>
      <c r="U19" s="13"/>
      <c r="V19" s="13"/>
      <c r="W19" s="13"/>
      <c r="X19" s="13"/>
      <c r="Y19" s="13"/>
      <c r="Z19" s="13"/>
      <c r="AA19" s="13"/>
      <c r="AB19" s="13"/>
      <c r="AC19" s="13"/>
    </row>
    <row r="20" spans="1:29" s="4" customFormat="1" ht="33.75" customHeight="1" x14ac:dyDescent="0.25">
      <c r="A20" s="162" t="s">
        <v>26</v>
      </c>
      <c r="B20" s="163" t="s">
        <v>248</v>
      </c>
      <c r="C20" s="162" t="s">
        <v>51</v>
      </c>
      <c r="D20" s="304" t="s">
        <v>247</v>
      </c>
      <c r="E20" s="162" t="s">
        <v>77</v>
      </c>
      <c r="F20" s="164">
        <f>'Memória de cálculo'!I32</f>
        <v>1</v>
      </c>
      <c r="G20" s="165">
        <f t="shared" si="2"/>
        <v>128.94</v>
      </c>
      <c r="H20" s="165">
        <f t="shared" si="3"/>
        <v>128.94</v>
      </c>
      <c r="I20" s="13"/>
      <c r="J20" s="43">
        <v>100.34</v>
      </c>
      <c r="K20" s="13"/>
      <c r="L20" s="13"/>
      <c r="M20" s="13"/>
      <c r="N20" s="13"/>
      <c r="O20" s="13"/>
      <c r="P20" s="13"/>
      <c r="Q20" s="13"/>
      <c r="R20" s="13"/>
      <c r="S20" s="13"/>
      <c r="T20" s="13"/>
      <c r="U20" s="13"/>
      <c r="V20" s="13"/>
      <c r="W20" s="13"/>
      <c r="X20" s="13"/>
      <c r="Y20" s="13"/>
      <c r="Z20" s="13"/>
      <c r="AA20" s="13"/>
      <c r="AB20" s="13"/>
      <c r="AC20" s="13"/>
    </row>
    <row r="21" spans="1:29" s="4" customFormat="1" ht="32.4" x14ac:dyDescent="0.25">
      <c r="A21" s="162" t="s">
        <v>26</v>
      </c>
      <c r="B21" s="163" t="s">
        <v>79</v>
      </c>
      <c r="C21" s="162" t="s">
        <v>52</v>
      </c>
      <c r="D21" s="304" t="s">
        <v>78</v>
      </c>
      <c r="E21" s="162" t="s">
        <v>86</v>
      </c>
      <c r="F21" s="164">
        <f>'Memória de cálculo'!I34</f>
        <v>13.64</v>
      </c>
      <c r="G21" s="165">
        <f t="shared" si="2"/>
        <v>238.21</v>
      </c>
      <c r="H21" s="165">
        <f t="shared" si="3"/>
        <v>3249.18</v>
      </c>
      <c r="I21" s="13"/>
      <c r="J21" s="43">
        <v>185.38</v>
      </c>
      <c r="K21" s="13"/>
      <c r="L21" s="13"/>
      <c r="M21" s="13"/>
      <c r="N21" s="13"/>
      <c r="O21" s="13"/>
      <c r="P21" s="13"/>
      <c r="Q21" s="13"/>
      <c r="R21" s="13"/>
      <c r="S21" s="13"/>
      <c r="T21" s="13"/>
      <c r="U21" s="13"/>
      <c r="V21" s="13"/>
      <c r="W21" s="13"/>
      <c r="X21" s="13"/>
      <c r="Y21" s="13"/>
      <c r="Z21" s="13"/>
      <c r="AA21" s="13"/>
      <c r="AB21" s="13"/>
      <c r="AC21" s="13"/>
    </row>
    <row r="22" spans="1:29" s="4" customFormat="1" x14ac:dyDescent="0.25">
      <c r="A22" s="167"/>
      <c r="B22" s="167"/>
      <c r="C22" s="167"/>
      <c r="D22" s="166" t="s">
        <v>29</v>
      </c>
      <c r="E22" s="167"/>
      <c r="F22" s="168"/>
      <c r="G22" s="165"/>
      <c r="H22" s="141">
        <f>SUM(H16:H21)</f>
        <v>11212.12</v>
      </c>
      <c r="I22" s="13"/>
      <c r="J22" s="44"/>
      <c r="K22" s="13"/>
      <c r="L22" s="13"/>
      <c r="M22" s="13"/>
      <c r="N22" s="13"/>
      <c r="O22" s="13"/>
      <c r="P22" s="13"/>
      <c r="Q22" s="13"/>
      <c r="R22" s="13"/>
      <c r="S22" s="13"/>
      <c r="T22" s="13"/>
      <c r="U22" s="13"/>
      <c r="V22" s="13"/>
      <c r="W22" s="13"/>
      <c r="X22" s="13"/>
      <c r="Y22" s="13"/>
      <c r="Z22" s="13"/>
      <c r="AA22" s="13"/>
      <c r="AB22" s="13"/>
      <c r="AC22" s="13"/>
    </row>
    <row r="23" spans="1:29" s="8" customFormat="1" x14ac:dyDescent="0.25">
      <c r="A23" s="156"/>
      <c r="B23" s="156"/>
      <c r="C23" s="157" t="s">
        <v>53</v>
      </c>
      <c r="D23" s="158" t="s">
        <v>82</v>
      </c>
      <c r="E23" s="156"/>
      <c r="F23" s="169"/>
      <c r="G23" s="170"/>
      <c r="H23" s="171"/>
      <c r="I23" s="10"/>
      <c r="J23" s="44"/>
      <c r="K23" s="10"/>
      <c r="L23" s="10"/>
      <c r="M23" s="10"/>
      <c r="N23" s="10"/>
      <c r="O23" s="10"/>
      <c r="P23" s="10"/>
      <c r="Q23" s="10"/>
      <c r="R23" s="10"/>
      <c r="S23" s="10"/>
      <c r="T23" s="10"/>
      <c r="U23" s="10"/>
      <c r="V23" s="10"/>
      <c r="W23" s="10"/>
      <c r="X23" s="10"/>
      <c r="Y23" s="10"/>
      <c r="Z23" s="10"/>
      <c r="AA23" s="10"/>
      <c r="AB23" s="10"/>
      <c r="AC23" s="10"/>
    </row>
    <row r="24" spans="1:29" s="8" customFormat="1" ht="39.75" customHeight="1" x14ac:dyDescent="0.25">
      <c r="A24" s="162" t="s">
        <v>238</v>
      </c>
      <c r="B24" s="162">
        <v>2</v>
      </c>
      <c r="C24" s="162" t="s">
        <v>54</v>
      </c>
      <c r="D24" s="172" t="str">
        <f>'COMPOSIÇÕES (2)'!B28</f>
        <v>FORNECIMENTO E INSTALAÇÃO DE VIGA METÁLICA INCLUSIVE ANCORAGEM (ITEM 2 - SUPORTE 2)</v>
      </c>
      <c r="E24" s="162" t="s">
        <v>77</v>
      </c>
      <c r="F24" s="164">
        <f>'Memória de cálculo'!I37</f>
        <v>4</v>
      </c>
      <c r="G24" s="165">
        <f>J24*1.285</f>
        <v>1618.61</v>
      </c>
      <c r="H24" s="165">
        <f t="shared" ref="H24:H26" si="4">G24*F24</f>
        <v>6474.44</v>
      </c>
      <c r="I24" s="10"/>
      <c r="J24" s="44">
        <f>'COMPOSIÇÕES (2)'!F38</f>
        <v>1259.6199999999999</v>
      </c>
      <c r="K24" s="10"/>
      <c r="L24" s="10"/>
      <c r="M24" s="10"/>
      <c r="N24" s="10"/>
      <c r="O24" s="10"/>
      <c r="P24" s="10"/>
      <c r="Q24" s="10"/>
      <c r="R24" s="10"/>
      <c r="S24" s="10"/>
      <c r="T24" s="10"/>
      <c r="U24" s="10"/>
      <c r="V24" s="10"/>
      <c r="W24" s="10"/>
      <c r="X24" s="10"/>
      <c r="Y24" s="10"/>
      <c r="Z24" s="10"/>
      <c r="AA24" s="10"/>
      <c r="AB24" s="10"/>
      <c r="AC24" s="10"/>
    </row>
    <row r="25" spans="1:29" s="8" customFormat="1" ht="45" customHeight="1" x14ac:dyDescent="0.25">
      <c r="A25" s="162" t="s">
        <v>238</v>
      </c>
      <c r="B25" s="162">
        <v>3</v>
      </c>
      <c r="C25" s="162" t="s">
        <v>35</v>
      </c>
      <c r="D25" s="172" t="str">
        <f>'COMPOSIÇÕES (2)'!B53</f>
        <v>FORNECIMENTO E INSTALAÇÃO DE VIGA METÁLICA INCLUSIVE ANCORAGEM (ITEM 3 - SUPORTE 3)</v>
      </c>
      <c r="E25" s="162" t="s">
        <v>77</v>
      </c>
      <c r="F25" s="164">
        <f>'Memória de cálculo'!I39</f>
        <v>9</v>
      </c>
      <c r="G25" s="165">
        <f>J25*1.285</f>
        <v>2383.5100000000002</v>
      </c>
      <c r="H25" s="165">
        <f t="shared" si="4"/>
        <v>21451.59</v>
      </c>
      <c r="I25" s="10"/>
      <c r="J25" s="44">
        <f>'COMPOSIÇÕES (2)'!F63</f>
        <v>1854.87</v>
      </c>
      <c r="K25" s="10"/>
      <c r="L25" s="10"/>
      <c r="M25" s="10"/>
      <c r="N25" s="10"/>
      <c r="O25" s="10"/>
      <c r="P25" s="10"/>
      <c r="Q25" s="10"/>
      <c r="R25" s="10"/>
      <c r="S25" s="10"/>
      <c r="T25" s="10"/>
      <c r="U25" s="10"/>
      <c r="V25" s="10"/>
      <c r="W25" s="10"/>
      <c r="X25" s="10"/>
      <c r="Y25" s="10"/>
      <c r="Z25" s="10"/>
      <c r="AA25" s="10"/>
      <c r="AB25" s="10"/>
      <c r="AC25" s="10"/>
    </row>
    <row r="26" spans="1:29" s="8" customFormat="1" ht="35.25" customHeight="1" x14ac:dyDescent="0.25">
      <c r="A26" s="162" t="s">
        <v>238</v>
      </c>
      <c r="B26" s="162">
        <v>4</v>
      </c>
      <c r="C26" s="162" t="s">
        <v>55</v>
      </c>
      <c r="D26" s="172" t="str">
        <f>'COMPOSIÇÕES (2)'!B80</f>
        <v>FORNECIMENTO E INSTALAÇÃO DE PLATAFORMA METÁLICA (ITEM 4 - PLATAFORMA)</v>
      </c>
      <c r="E26" s="162" t="s">
        <v>77</v>
      </c>
      <c r="F26" s="164">
        <v>1</v>
      </c>
      <c r="G26" s="165">
        <f>J26*1.285</f>
        <v>26900.94</v>
      </c>
      <c r="H26" s="165">
        <f t="shared" si="4"/>
        <v>26900.94</v>
      </c>
      <c r="I26" s="10"/>
      <c r="J26" s="44">
        <f>'COMPOSIÇÕES (2)'!F88</f>
        <v>20934.580000000002</v>
      </c>
      <c r="K26" s="10"/>
      <c r="L26" s="10"/>
      <c r="M26" s="10"/>
      <c r="N26" s="10"/>
      <c r="O26" s="10"/>
      <c r="P26" s="10"/>
      <c r="Q26" s="10"/>
      <c r="R26" s="10"/>
      <c r="S26" s="10"/>
      <c r="T26" s="10"/>
      <c r="U26" s="10"/>
      <c r="V26" s="10"/>
      <c r="W26" s="10"/>
      <c r="X26" s="10"/>
      <c r="Y26" s="10"/>
      <c r="Z26" s="10"/>
      <c r="AA26" s="10"/>
      <c r="AB26" s="10"/>
      <c r="AC26" s="10"/>
    </row>
    <row r="27" spans="1:29" s="8" customFormat="1" ht="67.2" customHeight="1" x14ac:dyDescent="0.25">
      <c r="A27" s="162" t="s">
        <v>26</v>
      </c>
      <c r="B27" s="162">
        <v>93402</v>
      </c>
      <c r="C27" s="162" t="s">
        <v>160</v>
      </c>
      <c r="D27" s="172" t="s">
        <v>168</v>
      </c>
      <c r="E27" s="162" t="s">
        <v>169</v>
      </c>
      <c r="F27" s="164">
        <f>'Memória de cálculo'!I43</f>
        <v>24</v>
      </c>
      <c r="G27" s="165">
        <f t="shared" ref="G27" si="5">J27*1.285</f>
        <v>179.12</v>
      </c>
      <c r="H27" s="165">
        <f>G27*F27</f>
        <v>4298.88</v>
      </c>
      <c r="I27" s="10"/>
      <c r="J27" s="44">
        <v>139.38999999999999</v>
      </c>
      <c r="K27" s="10"/>
      <c r="L27" s="10"/>
      <c r="M27" s="10"/>
      <c r="N27" s="10"/>
      <c r="O27" s="10"/>
      <c r="P27" s="10"/>
      <c r="Q27" s="10"/>
      <c r="R27" s="10"/>
      <c r="S27" s="10"/>
      <c r="T27" s="10"/>
      <c r="U27" s="10"/>
      <c r="V27" s="10"/>
      <c r="W27" s="10"/>
      <c r="X27" s="10"/>
      <c r="Y27" s="10"/>
      <c r="Z27" s="10"/>
      <c r="AA27" s="10"/>
      <c r="AB27" s="10"/>
      <c r="AC27" s="10"/>
    </row>
    <row r="28" spans="1:29" s="8" customFormat="1" x14ac:dyDescent="0.25">
      <c r="A28" s="162"/>
      <c r="B28" s="162"/>
      <c r="C28" s="162"/>
      <c r="D28" s="166" t="s">
        <v>29</v>
      </c>
      <c r="E28" s="162"/>
      <c r="F28" s="164"/>
      <c r="G28" s="165"/>
      <c r="H28" s="141">
        <f>SUM(H24:H27)</f>
        <v>59125.85</v>
      </c>
      <c r="I28" s="10"/>
      <c r="J28" s="44"/>
      <c r="K28" s="10"/>
      <c r="L28" s="10"/>
      <c r="M28" s="10"/>
      <c r="N28" s="10"/>
      <c r="O28" s="10"/>
      <c r="P28" s="10"/>
      <c r="Q28" s="10"/>
      <c r="R28" s="10"/>
      <c r="S28" s="10"/>
      <c r="T28" s="10"/>
      <c r="U28" s="10"/>
      <c r="V28" s="10"/>
      <c r="W28" s="10"/>
      <c r="X28" s="10"/>
      <c r="Y28" s="10"/>
      <c r="Z28" s="10"/>
      <c r="AA28" s="10"/>
      <c r="AB28" s="10"/>
      <c r="AC28" s="10"/>
    </row>
    <row r="29" spans="1:29" s="8" customFormat="1" x14ac:dyDescent="0.25">
      <c r="A29" s="156"/>
      <c r="B29" s="156"/>
      <c r="C29" s="157" t="s">
        <v>56</v>
      </c>
      <c r="D29" s="158" t="s">
        <v>83</v>
      </c>
      <c r="E29" s="156"/>
      <c r="F29" s="169"/>
      <c r="G29" s="170"/>
      <c r="H29" s="171"/>
      <c r="I29" s="10"/>
      <c r="J29" s="44"/>
      <c r="K29" s="10"/>
      <c r="L29" s="10"/>
      <c r="M29" s="10"/>
      <c r="N29" s="10"/>
      <c r="O29" s="10"/>
      <c r="P29" s="10"/>
      <c r="Q29" s="10"/>
      <c r="R29" s="10"/>
      <c r="S29" s="10"/>
      <c r="T29" s="10"/>
      <c r="U29" s="10"/>
      <c r="V29" s="10"/>
      <c r="W29" s="10"/>
      <c r="X29" s="10"/>
      <c r="Y29" s="10"/>
      <c r="Z29" s="10"/>
      <c r="AA29" s="10"/>
      <c r="AB29" s="10"/>
      <c r="AC29" s="10"/>
    </row>
    <row r="30" spans="1:29" s="8" customFormat="1" ht="21.6" x14ac:dyDescent="0.25">
      <c r="A30" s="162" t="s">
        <v>238</v>
      </c>
      <c r="B30" s="162">
        <v>1</v>
      </c>
      <c r="C30" s="162" t="s">
        <v>57</v>
      </c>
      <c r="D30" s="172" t="str">
        <f>'COMPOSIÇÕES (2)'!B2</f>
        <v>FORNECIMENTO E INSTALAÇÃO DE PILAR METÁLICO INCLUSIVE ANCORAGEM (ITEM 1 - SUPORTE 1)</v>
      </c>
      <c r="E30" s="162" t="s">
        <v>77</v>
      </c>
      <c r="F30" s="164">
        <f>'Memória de cálculo'!I46</f>
        <v>7</v>
      </c>
      <c r="G30" s="165">
        <f t="shared" ref="G30:G31" si="6">J30*1.285</f>
        <v>3788.28</v>
      </c>
      <c r="H30" s="165">
        <f t="shared" ref="H30:H35" si="7">G30*F30</f>
        <v>26517.96</v>
      </c>
      <c r="I30" s="10"/>
      <c r="J30" s="44">
        <f>'COMPOSIÇÕES (2)'!F11</f>
        <v>2948.08</v>
      </c>
      <c r="K30" s="10"/>
      <c r="L30" s="10"/>
      <c r="M30" s="10"/>
      <c r="N30" s="10"/>
      <c r="O30" s="10"/>
      <c r="P30" s="10"/>
      <c r="Q30" s="10"/>
      <c r="R30" s="10"/>
      <c r="S30" s="10"/>
      <c r="T30" s="10"/>
      <c r="U30" s="10"/>
      <c r="V30" s="10"/>
      <c r="W30" s="10"/>
      <c r="X30" s="10"/>
      <c r="Y30" s="10"/>
      <c r="Z30" s="10"/>
      <c r="AA30" s="10"/>
      <c r="AB30" s="10"/>
      <c r="AC30" s="10"/>
    </row>
    <row r="31" spans="1:29" s="8" customFormat="1" ht="25.2" customHeight="1" x14ac:dyDescent="0.25">
      <c r="A31" s="162" t="s">
        <v>238</v>
      </c>
      <c r="B31" s="162">
        <v>5</v>
      </c>
      <c r="C31" s="162" t="s">
        <v>58</v>
      </c>
      <c r="D31" s="172" t="str">
        <f>'COMPOSIÇÕES (2)'!B101</f>
        <v>FORNECIMENTO E INSTALAÇÃO DE TERÇAS PARA COBERTURA (ITEM 7 - TERÇA)</v>
      </c>
      <c r="E31" s="162" t="s">
        <v>77</v>
      </c>
      <c r="F31" s="164">
        <f>'Memória de cálculo'!I48</f>
        <v>7</v>
      </c>
      <c r="G31" s="165">
        <f t="shared" si="6"/>
        <v>1034.01</v>
      </c>
      <c r="H31" s="165">
        <f t="shared" si="7"/>
        <v>7238.07</v>
      </c>
      <c r="I31" s="10"/>
      <c r="J31" s="44">
        <f>'COMPOSIÇÕES (2)'!F106</f>
        <v>804.68</v>
      </c>
      <c r="K31" s="10"/>
      <c r="L31" s="10"/>
      <c r="M31" s="10"/>
      <c r="N31" s="10"/>
      <c r="O31" s="10"/>
      <c r="P31" s="10"/>
      <c r="Q31" s="10"/>
      <c r="R31" s="10"/>
      <c r="S31" s="10"/>
      <c r="T31" s="10"/>
      <c r="U31" s="10"/>
      <c r="V31" s="10"/>
      <c r="W31" s="10"/>
      <c r="X31" s="10"/>
      <c r="Y31" s="10"/>
      <c r="Z31" s="10"/>
      <c r="AA31" s="10"/>
      <c r="AB31" s="10"/>
      <c r="AC31" s="10"/>
    </row>
    <row r="32" spans="1:29" s="8" customFormat="1" ht="57" customHeight="1" x14ac:dyDescent="0.25">
      <c r="A32" s="162" t="s">
        <v>26</v>
      </c>
      <c r="B32" s="162">
        <v>92580</v>
      </c>
      <c r="C32" s="162" t="s">
        <v>59</v>
      </c>
      <c r="D32" s="172" t="s">
        <v>146</v>
      </c>
      <c r="E32" s="162" t="s">
        <v>86</v>
      </c>
      <c r="F32" s="164">
        <f>'Memória de cálculo'!I50</f>
        <v>63.55</v>
      </c>
      <c r="G32" s="165">
        <f>J32*1.285</f>
        <v>44.5</v>
      </c>
      <c r="H32" s="165">
        <f>G32*F32</f>
        <v>2827.98</v>
      </c>
      <c r="I32" s="10"/>
      <c r="J32" s="44">
        <v>34.630000000000003</v>
      </c>
      <c r="K32" s="10"/>
      <c r="L32" s="10"/>
      <c r="M32" s="10"/>
      <c r="N32" s="10"/>
      <c r="O32" s="10"/>
      <c r="P32" s="10"/>
      <c r="Q32" s="10"/>
      <c r="R32" s="10"/>
      <c r="S32" s="10"/>
      <c r="T32" s="10"/>
      <c r="U32" s="10"/>
      <c r="V32" s="10"/>
      <c r="W32" s="10"/>
      <c r="X32" s="10"/>
      <c r="Y32" s="10"/>
      <c r="Z32" s="10"/>
      <c r="AA32" s="10"/>
      <c r="AB32" s="10"/>
      <c r="AC32" s="10"/>
    </row>
    <row r="33" spans="1:29" s="8" customFormat="1" ht="36" customHeight="1" x14ac:dyDescent="0.25">
      <c r="A33" s="162" t="s">
        <v>26</v>
      </c>
      <c r="B33" s="162">
        <v>94216</v>
      </c>
      <c r="C33" s="162" t="s">
        <v>156</v>
      </c>
      <c r="D33" s="172" t="s">
        <v>148</v>
      </c>
      <c r="E33" s="162" t="s">
        <v>86</v>
      </c>
      <c r="F33" s="164">
        <f>'Memória de cálculo'!I52</f>
        <v>63.55</v>
      </c>
      <c r="G33" s="165">
        <f>J33*1.285</f>
        <v>292.98</v>
      </c>
      <c r="H33" s="165">
        <f>G33*F33</f>
        <v>18618.88</v>
      </c>
      <c r="I33" s="10"/>
      <c r="J33" s="44">
        <v>228</v>
      </c>
      <c r="K33" s="10"/>
      <c r="L33" s="10"/>
      <c r="M33" s="10"/>
      <c r="N33" s="10"/>
      <c r="O33" s="10"/>
      <c r="P33" s="10"/>
      <c r="Q33" s="10"/>
      <c r="R33" s="10"/>
      <c r="S33" s="10"/>
      <c r="T33" s="10"/>
      <c r="U33" s="10"/>
      <c r="V33" s="10"/>
      <c r="W33" s="10"/>
      <c r="X33" s="10"/>
      <c r="Y33" s="10"/>
      <c r="Z33" s="10"/>
      <c r="AA33" s="10"/>
      <c r="AB33" s="10"/>
      <c r="AC33" s="10"/>
    </row>
    <row r="34" spans="1:29" s="8" customFormat="1" ht="37.799999999999997" customHeight="1" x14ac:dyDescent="0.25">
      <c r="A34" s="162" t="s">
        <v>26</v>
      </c>
      <c r="B34" s="162">
        <v>94227</v>
      </c>
      <c r="C34" s="162" t="s">
        <v>158</v>
      </c>
      <c r="D34" s="172" t="s">
        <v>175</v>
      </c>
      <c r="E34" s="162" t="s">
        <v>87</v>
      </c>
      <c r="F34" s="164">
        <f>'Memória de cálculo'!I54</f>
        <v>1.88</v>
      </c>
      <c r="G34" s="165">
        <f t="shared" ref="G34:G35" si="8">J34*1.285</f>
        <v>47.88</v>
      </c>
      <c r="H34" s="165">
        <f t="shared" si="7"/>
        <v>90.01</v>
      </c>
      <c r="I34" s="10"/>
      <c r="J34" s="44">
        <v>37.26</v>
      </c>
      <c r="K34" s="10"/>
      <c r="L34" s="10"/>
      <c r="M34" s="10"/>
      <c r="N34" s="10"/>
      <c r="O34" s="10"/>
      <c r="P34" s="10"/>
      <c r="Q34" s="10"/>
      <c r="R34" s="10"/>
      <c r="S34" s="10"/>
      <c r="T34" s="10"/>
      <c r="U34" s="10"/>
      <c r="V34" s="10"/>
      <c r="W34" s="10"/>
      <c r="X34" s="10"/>
      <c r="Y34" s="10"/>
      <c r="Z34" s="10"/>
      <c r="AA34" s="10"/>
      <c r="AB34" s="10"/>
      <c r="AC34" s="10"/>
    </row>
    <row r="35" spans="1:29" s="8" customFormat="1" ht="32.4" x14ac:dyDescent="0.25">
      <c r="A35" s="162" t="s">
        <v>26</v>
      </c>
      <c r="B35" s="162" t="s">
        <v>210</v>
      </c>
      <c r="C35" s="162" t="s">
        <v>176</v>
      </c>
      <c r="D35" s="172" t="s">
        <v>209</v>
      </c>
      <c r="E35" s="162" t="s">
        <v>86</v>
      </c>
      <c r="F35" s="164">
        <f>'Memória de cálculo'!I56</f>
        <v>1.99</v>
      </c>
      <c r="G35" s="165">
        <f t="shared" si="8"/>
        <v>154.15</v>
      </c>
      <c r="H35" s="165">
        <f t="shared" si="7"/>
        <v>306.76</v>
      </c>
      <c r="I35" s="10"/>
      <c r="J35" s="44">
        <v>119.96</v>
      </c>
      <c r="K35" s="10"/>
      <c r="L35" s="10"/>
      <c r="M35" s="10"/>
      <c r="N35" s="10"/>
      <c r="O35" s="10"/>
      <c r="P35" s="10"/>
      <c r="Q35" s="10"/>
      <c r="R35" s="10"/>
      <c r="S35" s="10"/>
      <c r="T35" s="10"/>
      <c r="U35" s="10"/>
      <c r="V35" s="10"/>
      <c r="W35" s="10"/>
      <c r="X35" s="10"/>
      <c r="Y35" s="10"/>
      <c r="Z35" s="10"/>
      <c r="AA35" s="10"/>
      <c r="AB35" s="10"/>
      <c r="AC35" s="10"/>
    </row>
    <row r="36" spans="1:29" s="8" customFormat="1" x14ac:dyDescent="0.25">
      <c r="A36" s="162"/>
      <c r="B36" s="162"/>
      <c r="C36" s="162"/>
      <c r="D36" s="166" t="s">
        <v>29</v>
      </c>
      <c r="E36" s="162"/>
      <c r="F36" s="164"/>
      <c r="G36" s="165"/>
      <c r="H36" s="141">
        <f>SUM(H30:H35)</f>
        <v>55599.66</v>
      </c>
      <c r="I36" s="10"/>
      <c r="J36" s="44"/>
      <c r="K36" s="10"/>
      <c r="L36" s="10"/>
      <c r="M36" s="10"/>
      <c r="N36" s="10"/>
      <c r="O36" s="10"/>
      <c r="P36" s="10"/>
      <c r="Q36" s="10"/>
      <c r="R36" s="10"/>
      <c r="S36" s="10"/>
      <c r="T36" s="10"/>
      <c r="U36" s="10"/>
      <c r="V36" s="10"/>
      <c r="W36" s="10"/>
      <c r="X36" s="10"/>
      <c r="Y36" s="10"/>
      <c r="Z36" s="10"/>
      <c r="AA36" s="10"/>
      <c r="AB36" s="10"/>
      <c r="AC36" s="10"/>
    </row>
    <row r="37" spans="1:29" s="8" customFormat="1" x14ac:dyDescent="0.25">
      <c r="A37" s="156"/>
      <c r="B37" s="156"/>
      <c r="C37" s="157" t="s">
        <v>40</v>
      </c>
      <c r="D37" s="158" t="s">
        <v>89</v>
      </c>
      <c r="E37" s="156"/>
      <c r="F37" s="169"/>
      <c r="G37" s="170"/>
      <c r="H37" s="171"/>
      <c r="I37" s="10"/>
      <c r="J37" s="44"/>
      <c r="K37" s="10"/>
      <c r="L37" s="10"/>
      <c r="M37" s="10"/>
      <c r="N37" s="10"/>
      <c r="O37" s="10"/>
      <c r="P37" s="10"/>
      <c r="Q37" s="10"/>
      <c r="R37" s="10"/>
      <c r="S37" s="10"/>
      <c r="T37" s="10"/>
      <c r="U37" s="10"/>
      <c r="V37" s="10"/>
      <c r="W37" s="10"/>
      <c r="X37" s="10"/>
      <c r="Y37" s="10"/>
      <c r="Z37" s="10"/>
      <c r="AA37" s="10"/>
      <c r="AB37" s="10"/>
      <c r="AC37" s="10"/>
    </row>
    <row r="38" spans="1:29" s="8" customFormat="1" ht="55.2" customHeight="1" x14ac:dyDescent="0.25">
      <c r="A38" s="162" t="s">
        <v>26</v>
      </c>
      <c r="B38" s="162" t="s">
        <v>99</v>
      </c>
      <c r="C38" s="162" t="s">
        <v>60</v>
      </c>
      <c r="D38" s="172" t="s">
        <v>95</v>
      </c>
      <c r="E38" s="162" t="s">
        <v>77</v>
      </c>
      <c r="F38" s="164">
        <f>'Memória de cálculo'!I59</f>
        <v>1</v>
      </c>
      <c r="G38" s="165">
        <f t="shared" ref="G38:G46" si="9">J38*1.285</f>
        <v>65.73</v>
      </c>
      <c r="H38" s="165">
        <f>G38*F38</f>
        <v>65.73</v>
      </c>
      <c r="I38" s="10"/>
      <c r="J38" s="43">
        <v>51.15</v>
      </c>
      <c r="K38" s="10"/>
      <c r="L38" s="10"/>
      <c r="M38" s="10"/>
      <c r="N38" s="10"/>
      <c r="O38" s="10"/>
      <c r="P38" s="10"/>
      <c r="Q38" s="10"/>
      <c r="R38" s="10"/>
      <c r="S38" s="10"/>
      <c r="T38" s="10"/>
      <c r="U38" s="10"/>
      <c r="V38" s="10"/>
      <c r="W38" s="10"/>
      <c r="X38" s="10"/>
      <c r="Y38" s="10"/>
      <c r="Z38" s="10"/>
      <c r="AA38" s="10"/>
      <c r="AB38" s="10"/>
      <c r="AC38" s="10"/>
    </row>
    <row r="39" spans="1:29" s="8" customFormat="1" ht="37.799999999999997" customHeight="1" x14ac:dyDescent="0.25">
      <c r="A39" s="162" t="s">
        <v>26</v>
      </c>
      <c r="B39" s="162" t="s">
        <v>100</v>
      </c>
      <c r="C39" s="162" t="s">
        <v>41</v>
      </c>
      <c r="D39" s="172" t="s">
        <v>90</v>
      </c>
      <c r="E39" s="162" t="s">
        <v>77</v>
      </c>
      <c r="F39" s="164">
        <f>'Memória de cálculo'!I61</f>
        <v>1</v>
      </c>
      <c r="G39" s="165">
        <f t="shared" si="9"/>
        <v>10.81</v>
      </c>
      <c r="H39" s="165">
        <f t="shared" ref="H39:H46" si="10">G39*F39</f>
        <v>10.81</v>
      </c>
      <c r="I39" s="10"/>
      <c r="J39" s="43">
        <v>8.41</v>
      </c>
      <c r="K39" s="10"/>
      <c r="L39" s="10"/>
      <c r="M39" s="10"/>
      <c r="N39" s="10"/>
      <c r="O39" s="10"/>
      <c r="P39" s="10"/>
      <c r="Q39" s="10"/>
      <c r="R39" s="10"/>
      <c r="S39" s="10"/>
      <c r="T39" s="10"/>
      <c r="U39" s="10"/>
      <c r="V39" s="10"/>
      <c r="W39" s="10"/>
      <c r="X39" s="10"/>
      <c r="Y39" s="10"/>
      <c r="Z39" s="10"/>
      <c r="AA39" s="10"/>
      <c r="AB39" s="10"/>
      <c r="AC39" s="10"/>
    </row>
    <row r="40" spans="1:29" s="8" customFormat="1" ht="40.799999999999997" customHeight="1" x14ac:dyDescent="0.25">
      <c r="A40" s="162" t="s">
        <v>26</v>
      </c>
      <c r="B40" s="162" t="s">
        <v>101</v>
      </c>
      <c r="C40" s="162" t="s">
        <v>61</v>
      </c>
      <c r="D40" s="172" t="s">
        <v>91</v>
      </c>
      <c r="E40" s="162" t="s">
        <v>77</v>
      </c>
      <c r="F40" s="164">
        <f>'Memória de cálculo'!I63</f>
        <v>1</v>
      </c>
      <c r="G40" s="165">
        <f t="shared" si="9"/>
        <v>35.93</v>
      </c>
      <c r="H40" s="165">
        <f t="shared" si="10"/>
        <v>35.93</v>
      </c>
      <c r="I40" s="10"/>
      <c r="J40" s="43">
        <v>27.96</v>
      </c>
      <c r="K40" s="10"/>
      <c r="L40" s="10"/>
      <c r="M40" s="10"/>
      <c r="N40" s="10"/>
      <c r="O40" s="10"/>
      <c r="P40" s="10"/>
      <c r="Q40" s="10"/>
      <c r="R40" s="10"/>
      <c r="S40" s="10"/>
      <c r="T40" s="10"/>
      <c r="U40" s="10"/>
      <c r="V40" s="10"/>
      <c r="W40" s="10"/>
      <c r="X40" s="10"/>
      <c r="Y40" s="10"/>
      <c r="Z40" s="10"/>
      <c r="AA40" s="10"/>
      <c r="AB40" s="10"/>
      <c r="AC40" s="10"/>
    </row>
    <row r="41" spans="1:29" s="8" customFormat="1" ht="35.4" customHeight="1" x14ac:dyDescent="0.25">
      <c r="A41" s="162" t="s">
        <v>26</v>
      </c>
      <c r="B41" s="162">
        <v>97607</v>
      </c>
      <c r="C41" s="162" t="s">
        <v>62</v>
      </c>
      <c r="D41" s="172" t="s">
        <v>203</v>
      </c>
      <c r="E41" s="162" t="s">
        <v>77</v>
      </c>
      <c r="F41" s="164">
        <f>'Memória de cálculo'!I65</f>
        <v>7</v>
      </c>
      <c r="G41" s="165">
        <f t="shared" si="9"/>
        <v>120.21</v>
      </c>
      <c r="H41" s="165">
        <f t="shared" si="10"/>
        <v>841.47</v>
      </c>
      <c r="I41" s="10"/>
      <c r="J41" s="43">
        <v>93.55</v>
      </c>
      <c r="K41" s="10"/>
      <c r="L41" s="10"/>
      <c r="M41" s="10"/>
      <c r="N41" s="10"/>
      <c r="O41" s="10"/>
      <c r="P41" s="10"/>
      <c r="Q41" s="10"/>
      <c r="R41" s="10"/>
      <c r="S41" s="10"/>
      <c r="T41" s="10"/>
      <c r="U41" s="10"/>
      <c r="V41" s="10"/>
      <c r="W41" s="10"/>
      <c r="X41" s="10"/>
      <c r="Y41" s="10"/>
      <c r="Z41" s="10"/>
      <c r="AA41" s="10"/>
      <c r="AB41" s="10"/>
      <c r="AC41" s="10"/>
    </row>
    <row r="42" spans="1:29" s="8" customFormat="1" ht="27.6" customHeight="1" x14ac:dyDescent="0.25">
      <c r="A42" s="162" t="s">
        <v>26</v>
      </c>
      <c r="B42" s="162">
        <v>83446</v>
      </c>
      <c r="C42" s="162" t="s">
        <v>63</v>
      </c>
      <c r="D42" s="172" t="s">
        <v>211</v>
      </c>
      <c r="E42" s="162" t="s">
        <v>77</v>
      </c>
      <c r="F42" s="164">
        <f>'Memória de cálculo'!I67</f>
        <v>1</v>
      </c>
      <c r="G42" s="165">
        <f t="shared" si="9"/>
        <v>178.05</v>
      </c>
      <c r="H42" s="165">
        <f t="shared" si="10"/>
        <v>178.05</v>
      </c>
      <c r="I42" s="10"/>
      <c r="J42" s="43">
        <v>138.56</v>
      </c>
      <c r="K42" s="10"/>
      <c r="L42" s="10"/>
      <c r="M42" s="10"/>
      <c r="N42" s="10"/>
      <c r="O42" s="10"/>
      <c r="P42" s="10"/>
      <c r="Q42" s="10"/>
      <c r="R42" s="10"/>
      <c r="S42" s="10"/>
      <c r="T42" s="10"/>
      <c r="U42" s="10"/>
      <c r="V42" s="10"/>
      <c r="W42" s="10"/>
      <c r="X42" s="10"/>
      <c r="Y42" s="10"/>
      <c r="Z42" s="10"/>
      <c r="AA42" s="10"/>
      <c r="AB42" s="10"/>
      <c r="AC42" s="10"/>
    </row>
    <row r="43" spans="1:29" s="8" customFormat="1" ht="49.8" customHeight="1" x14ac:dyDescent="0.25">
      <c r="A43" s="162" t="s">
        <v>26</v>
      </c>
      <c r="B43" s="162" t="s">
        <v>102</v>
      </c>
      <c r="C43" s="162" t="s">
        <v>66</v>
      </c>
      <c r="D43" s="172" t="s">
        <v>92</v>
      </c>
      <c r="E43" s="162" t="s">
        <v>87</v>
      </c>
      <c r="F43" s="164">
        <f>'Memória de cálculo'!I69</f>
        <v>4</v>
      </c>
      <c r="G43" s="165">
        <f t="shared" si="9"/>
        <v>28.68</v>
      </c>
      <c r="H43" s="165">
        <f t="shared" si="10"/>
        <v>114.72</v>
      </c>
      <c r="I43" s="10"/>
      <c r="J43" s="43">
        <v>22.32</v>
      </c>
      <c r="K43" s="10"/>
      <c r="L43" s="10"/>
      <c r="M43" s="10"/>
      <c r="N43" s="10"/>
      <c r="O43" s="10"/>
      <c r="P43" s="10"/>
      <c r="Q43" s="10"/>
      <c r="R43" s="10"/>
      <c r="S43" s="10"/>
      <c r="T43" s="10"/>
      <c r="U43" s="10"/>
      <c r="V43" s="10"/>
      <c r="W43" s="10"/>
      <c r="X43" s="10"/>
      <c r="Y43" s="10"/>
      <c r="Z43" s="10"/>
      <c r="AA43" s="10"/>
      <c r="AB43" s="10"/>
      <c r="AC43" s="10"/>
    </row>
    <row r="44" spans="1:29" s="8" customFormat="1" ht="49.2" customHeight="1" x14ac:dyDescent="0.25">
      <c r="A44" s="162" t="s">
        <v>26</v>
      </c>
      <c r="B44" s="162">
        <v>95745</v>
      </c>
      <c r="C44" s="162" t="s">
        <v>96</v>
      </c>
      <c r="D44" s="172" t="s">
        <v>204</v>
      </c>
      <c r="E44" s="162" t="s">
        <v>87</v>
      </c>
      <c r="F44" s="164">
        <f>'Memória de cálculo'!I71</f>
        <v>3</v>
      </c>
      <c r="G44" s="165">
        <f t="shared" si="9"/>
        <v>19.89</v>
      </c>
      <c r="H44" s="165">
        <f t="shared" si="10"/>
        <v>59.67</v>
      </c>
      <c r="I44" s="10"/>
      <c r="J44" s="43">
        <v>15.48</v>
      </c>
      <c r="K44" s="10"/>
      <c r="L44" s="10"/>
      <c r="M44" s="10"/>
      <c r="N44" s="10"/>
      <c r="O44" s="10"/>
      <c r="P44" s="10"/>
      <c r="Q44" s="10"/>
      <c r="R44" s="10"/>
      <c r="S44" s="10"/>
      <c r="T44" s="10"/>
      <c r="U44" s="10"/>
      <c r="V44" s="10"/>
      <c r="W44" s="10"/>
      <c r="X44" s="10"/>
      <c r="Y44" s="10"/>
      <c r="Z44" s="10"/>
      <c r="AA44" s="10"/>
      <c r="AB44" s="10"/>
      <c r="AC44" s="10"/>
    </row>
    <row r="45" spans="1:29" s="8" customFormat="1" ht="37.200000000000003" customHeight="1" x14ac:dyDescent="0.25">
      <c r="A45" s="162" t="s">
        <v>26</v>
      </c>
      <c r="B45" s="162" t="s">
        <v>103</v>
      </c>
      <c r="C45" s="162" t="s">
        <v>97</v>
      </c>
      <c r="D45" s="172" t="s">
        <v>93</v>
      </c>
      <c r="E45" s="162" t="s">
        <v>87</v>
      </c>
      <c r="F45" s="164">
        <f>'Memória de cálculo'!I73</f>
        <v>94.3</v>
      </c>
      <c r="G45" s="165">
        <f t="shared" si="9"/>
        <v>3.02</v>
      </c>
      <c r="H45" s="165">
        <f t="shared" si="10"/>
        <v>284.79000000000002</v>
      </c>
      <c r="I45" s="10"/>
      <c r="J45" s="43">
        <v>2.35</v>
      </c>
      <c r="K45" s="10"/>
      <c r="L45" s="10"/>
      <c r="M45" s="10"/>
      <c r="N45" s="10"/>
      <c r="O45" s="10"/>
      <c r="P45" s="10"/>
      <c r="Q45" s="10"/>
      <c r="R45" s="10"/>
      <c r="S45" s="10"/>
      <c r="T45" s="10"/>
      <c r="U45" s="10"/>
      <c r="V45" s="10"/>
      <c r="W45" s="10"/>
      <c r="X45" s="10"/>
      <c r="Y45" s="10"/>
      <c r="Z45" s="10"/>
      <c r="AA45" s="10"/>
      <c r="AB45" s="10"/>
      <c r="AC45" s="10"/>
    </row>
    <row r="46" spans="1:29" s="8" customFormat="1" ht="21.6" x14ac:dyDescent="0.25">
      <c r="A46" s="162" t="s">
        <v>26</v>
      </c>
      <c r="B46" s="162" t="s">
        <v>104</v>
      </c>
      <c r="C46" s="162" t="s">
        <v>98</v>
      </c>
      <c r="D46" s="172" t="s">
        <v>94</v>
      </c>
      <c r="E46" s="162" t="s">
        <v>77</v>
      </c>
      <c r="F46" s="164">
        <f>'Memória de cálculo'!I75</f>
        <v>1</v>
      </c>
      <c r="G46" s="165">
        <f t="shared" si="9"/>
        <v>60.75</v>
      </c>
      <c r="H46" s="165">
        <f t="shared" si="10"/>
        <v>60.75</v>
      </c>
      <c r="I46" s="10"/>
      <c r="J46" s="43">
        <v>47.28</v>
      </c>
      <c r="K46" s="10"/>
      <c r="L46" s="10"/>
      <c r="M46" s="10"/>
      <c r="N46" s="10"/>
      <c r="O46" s="10"/>
      <c r="P46" s="10"/>
      <c r="Q46" s="10"/>
      <c r="R46" s="10"/>
      <c r="S46" s="10"/>
      <c r="T46" s="10"/>
      <c r="U46" s="10"/>
      <c r="V46" s="10"/>
      <c r="W46" s="10"/>
      <c r="X46" s="10"/>
      <c r="Y46" s="10"/>
      <c r="Z46" s="10"/>
      <c r="AA46" s="10"/>
      <c r="AB46" s="10"/>
      <c r="AC46" s="10"/>
    </row>
    <row r="47" spans="1:29" s="8" customFormat="1" x14ac:dyDescent="0.25">
      <c r="A47" s="162"/>
      <c r="B47" s="162"/>
      <c r="C47" s="162"/>
      <c r="D47" s="166" t="s">
        <v>29</v>
      </c>
      <c r="E47" s="167"/>
      <c r="F47" s="168"/>
      <c r="G47" s="165"/>
      <c r="H47" s="141">
        <f>SUM(H38:H46)</f>
        <v>1651.92</v>
      </c>
      <c r="I47" s="10"/>
      <c r="J47" s="44"/>
      <c r="K47" s="10"/>
      <c r="L47" s="10"/>
      <c r="M47" s="10"/>
      <c r="N47" s="10"/>
      <c r="O47" s="10"/>
      <c r="P47" s="10"/>
      <c r="Q47" s="10"/>
      <c r="R47" s="10"/>
      <c r="S47" s="10"/>
      <c r="T47" s="10"/>
      <c r="U47" s="10"/>
      <c r="V47" s="10"/>
      <c r="W47" s="10"/>
      <c r="X47" s="10"/>
      <c r="Y47" s="10"/>
      <c r="Z47" s="10"/>
      <c r="AA47" s="10"/>
      <c r="AB47" s="10"/>
      <c r="AC47" s="10"/>
    </row>
    <row r="48" spans="1:29" s="8" customFormat="1" x14ac:dyDescent="0.25">
      <c r="A48" s="162"/>
      <c r="B48" s="162"/>
      <c r="C48" s="162"/>
      <c r="D48" s="172"/>
      <c r="E48" s="162"/>
      <c r="F48" s="164"/>
      <c r="G48" s="165"/>
      <c r="H48" s="165"/>
      <c r="I48" s="10"/>
      <c r="J48" s="44"/>
      <c r="K48" s="10"/>
      <c r="L48" s="10"/>
      <c r="M48" s="10"/>
      <c r="N48" s="10"/>
      <c r="O48" s="10"/>
      <c r="P48" s="10"/>
      <c r="Q48" s="10"/>
      <c r="R48" s="10"/>
      <c r="S48" s="10"/>
      <c r="T48" s="10"/>
      <c r="U48" s="10"/>
      <c r="V48" s="10"/>
      <c r="W48" s="10"/>
      <c r="X48" s="10"/>
      <c r="Y48" s="10"/>
      <c r="Z48" s="10"/>
      <c r="AA48" s="10"/>
      <c r="AB48" s="10"/>
      <c r="AC48" s="10"/>
    </row>
    <row r="49" spans="1:29" s="8" customFormat="1" x14ac:dyDescent="0.25">
      <c r="A49" s="156"/>
      <c r="B49" s="156"/>
      <c r="C49" s="157" t="s">
        <v>105</v>
      </c>
      <c r="D49" s="158" t="s">
        <v>65</v>
      </c>
      <c r="E49" s="156"/>
      <c r="F49" s="169"/>
      <c r="G49" s="170"/>
      <c r="H49" s="171"/>
      <c r="I49" s="10"/>
      <c r="J49" s="44"/>
      <c r="K49" s="10"/>
      <c r="L49" s="10"/>
      <c r="M49" s="10"/>
      <c r="N49" s="10"/>
      <c r="O49" s="10"/>
      <c r="P49" s="10"/>
      <c r="Q49" s="10"/>
      <c r="R49" s="10"/>
      <c r="S49" s="10"/>
      <c r="T49" s="10"/>
      <c r="U49" s="10"/>
      <c r="V49" s="10"/>
      <c r="W49" s="10"/>
      <c r="X49" s="10"/>
      <c r="Y49" s="10"/>
      <c r="Z49" s="10"/>
      <c r="AA49" s="10"/>
      <c r="AB49" s="10"/>
      <c r="AC49" s="10"/>
    </row>
    <row r="50" spans="1:29" s="8" customFormat="1" ht="50.4" customHeight="1" x14ac:dyDescent="0.25">
      <c r="A50" s="162" t="s">
        <v>26</v>
      </c>
      <c r="B50" s="162">
        <v>94990</v>
      </c>
      <c r="C50" s="162" t="s">
        <v>108</v>
      </c>
      <c r="D50" s="172" t="s">
        <v>84</v>
      </c>
      <c r="E50" s="162" t="s">
        <v>85</v>
      </c>
      <c r="F50" s="164">
        <f>'Memória de cálculo'!I79</f>
        <v>0.62</v>
      </c>
      <c r="G50" s="165">
        <f t="shared" ref="G50:G57" si="11">J50*1.285</f>
        <v>624.77</v>
      </c>
      <c r="H50" s="165">
        <f>G50*F50</f>
        <v>387.36</v>
      </c>
      <c r="I50" s="10"/>
      <c r="J50" s="43">
        <v>486.2</v>
      </c>
      <c r="K50" s="10"/>
      <c r="L50" s="10"/>
      <c r="M50" s="10"/>
      <c r="N50" s="10"/>
      <c r="O50" s="10"/>
      <c r="P50" s="10"/>
      <c r="Q50" s="10"/>
      <c r="R50" s="10"/>
      <c r="S50" s="10"/>
      <c r="T50" s="10"/>
      <c r="U50" s="10"/>
      <c r="V50" s="10"/>
      <c r="W50" s="10"/>
      <c r="X50" s="10"/>
      <c r="Y50" s="10"/>
      <c r="Z50" s="10"/>
      <c r="AA50" s="10"/>
      <c r="AB50" s="10"/>
      <c r="AC50" s="10"/>
    </row>
    <row r="51" spans="1:29" s="8" customFormat="1" ht="34.799999999999997" customHeight="1" x14ac:dyDescent="0.25">
      <c r="A51" s="162" t="s">
        <v>26</v>
      </c>
      <c r="B51" s="162">
        <v>98679</v>
      </c>
      <c r="C51" s="162" t="s">
        <v>109</v>
      </c>
      <c r="D51" s="172" t="s">
        <v>212</v>
      </c>
      <c r="E51" s="162" t="s">
        <v>86</v>
      </c>
      <c r="F51" s="164">
        <f>'Memória de cálculo'!I81</f>
        <v>12.15</v>
      </c>
      <c r="G51" s="165">
        <f t="shared" si="11"/>
        <v>28.84</v>
      </c>
      <c r="H51" s="165">
        <f>G51*F51</f>
        <v>350.41</v>
      </c>
      <c r="I51" s="10"/>
      <c r="J51" s="43">
        <v>22.44</v>
      </c>
      <c r="K51" s="10"/>
      <c r="L51" s="10"/>
      <c r="M51" s="10"/>
      <c r="N51" s="10"/>
      <c r="O51" s="10"/>
      <c r="P51" s="10"/>
      <c r="Q51" s="10"/>
      <c r="R51" s="10"/>
      <c r="S51" s="10"/>
      <c r="T51" s="10"/>
      <c r="U51" s="10"/>
      <c r="V51" s="10"/>
      <c r="W51" s="10"/>
      <c r="X51" s="10"/>
      <c r="Y51" s="10"/>
      <c r="Z51" s="10"/>
      <c r="AA51" s="10"/>
      <c r="AB51" s="10"/>
      <c r="AC51" s="10"/>
    </row>
    <row r="52" spans="1:29" s="8" customFormat="1" ht="76.2" customHeight="1" x14ac:dyDescent="0.25">
      <c r="A52" s="162" t="s">
        <v>26</v>
      </c>
      <c r="B52" s="162">
        <v>94274</v>
      </c>
      <c r="C52" s="162" t="s">
        <v>110</v>
      </c>
      <c r="D52" s="172" t="s">
        <v>88</v>
      </c>
      <c r="E52" s="162" t="s">
        <v>87</v>
      </c>
      <c r="F52" s="164">
        <f>'Memória de cálculo'!I84</f>
        <v>8.4499999999999993</v>
      </c>
      <c r="G52" s="165">
        <f t="shared" si="11"/>
        <v>43.77</v>
      </c>
      <c r="H52" s="165">
        <f>G52*F52</f>
        <v>369.86</v>
      </c>
      <c r="I52" s="10"/>
      <c r="J52" s="43">
        <v>34.06</v>
      </c>
      <c r="K52" s="10"/>
      <c r="L52" s="10"/>
      <c r="M52" s="10"/>
      <c r="N52" s="10"/>
      <c r="O52" s="10"/>
      <c r="P52" s="10"/>
      <c r="Q52" s="10"/>
      <c r="R52" s="10"/>
      <c r="S52" s="10"/>
      <c r="T52" s="10"/>
      <c r="U52" s="10"/>
      <c r="V52" s="10"/>
      <c r="W52" s="10"/>
      <c r="X52" s="10"/>
      <c r="Y52" s="10"/>
      <c r="Z52" s="10"/>
      <c r="AA52" s="10"/>
      <c r="AB52" s="10"/>
      <c r="AC52" s="10"/>
    </row>
    <row r="53" spans="1:29" s="8" customFormat="1" ht="37.799999999999997" customHeight="1" x14ac:dyDescent="0.25">
      <c r="A53" s="162" t="s">
        <v>26</v>
      </c>
      <c r="B53" s="162">
        <v>94098</v>
      </c>
      <c r="C53" s="162" t="s">
        <v>111</v>
      </c>
      <c r="D53" s="172" t="s">
        <v>106</v>
      </c>
      <c r="E53" s="162" t="s">
        <v>86</v>
      </c>
      <c r="F53" s="164">
        <f>'Memória de cálculo'!I86</f>
        <v>4.1100000000000003</v>
      </c>
      <c r="G53" s="165">
        <f t="shared" si="11"/>
        <v>6.22</v>
      </c>
      <c r="H53" s="165">
        <f t="shared" ref="H53:H54" si="12">G53*F53</f>
        <v>25.56</v>
      </c>
      <c r="I53" s="10"/>
      <c r="J53" s="43">
        <v>4.84</v>
      </c>
      <c r="K53" s="10"/>
      <c r="L53" s="10"/>
      <c r="M53" s="10"/>
      <c r="N53" s="10"/>
      <c r="O53" s="10"/>
      <c r="P53" s="10"/>
      <c r="Q53" s="10"/>
      <c r="R53" s="10"/>
      <c r="S53" s="10"/>
      <c r="T53" s="10"/>
      <c r="U53" s="10"/>
      <c r="V53" s="10"/>
      <c r="W53" s="10"/>
      <c r="X53" s="10"/>
      <c r="Y53" s="10"/>
      <c r="Z53" s="10"/>
      <c r="AA53" s="10"/>
      <c r="AB53" s="10"/>
      <c r="AC53" s="10"/>
    </row>
    <row r="54" spans="1:29" s="8" customFormat="1" ht="16.2" customHeight="1" x14ac:dyDescent="0.25">
      <c r="A54" s="162" t="s">
        <v>26</v>
      </c>
      <c r="B54" s="162">
        <v>98504</v>
      </c>
      <c r="C54" s="162" t="s">
        <v>112</v>
      </c>
      <c r="D54" s="172" t="s">
        <v>213</v>
      </c>
      <c r="E54" s="162" t="s">
        <v>86</v>
      </c>
      <c r="F54" s="164">
        <f>'Memória de cálculo'!I88</f>
        <v>4.1100000000000003</v>
      </c>
      <c r="G54" s="165">
        <f t="shared" si="11"/>
        <v>9.8000000000000007</v>
      </c>
      <c r="H54" s="165">
        <f t="shared" si="12"/>
        <v>40.28</v>
      </c>
      <c r="I54" s="10"/>
      <c r="J54" s="43">
        <v>7.63</v>
      </c>
      <c r="K54" s="10"/>
      <c r="L54" s="10"/>
      <c r="M54" s="10"/>
      <c r="N54" s="10"/>
      <c r="O54" s="10"/>
      <c r="P54" s="10"/>
      <c r="Q54" s="10"/>
      <c r="R54" s="10"/>
      <c r="S54" s="10"/>
      <c r="T54" s="10"/>
      <c r="U54" s="10"/>
      <c r="V54" s="10"/>
      <c r="W54" s="10"/>
      <c r="X54" s="10"/>
      <c r="Y54" s="10"/>
      <c r="Z54" s="10"/>
      <c r="AA54" s="10"/>
      <c r="AB54" s="10"/>
      <c r="AC54" s="10"/>
    </row>
    <row r="55" spans="1:29" s="8" customFormat="1" ht="31.2" customHeight="1" x14ac:dyDescent="0.25">
      <c r="A55" s="162" t="s">
        <v>238</v>
      </c>
      <c r="B55" s="162">
        <v>6</v>
      </c>
      <c r="C55" s="162" t="s">
        <v>113</v>
      </c>
      <c r="D55" s="172" t="str">
        <f>'COMPOSIÇÕES (2)'!B115</f>
        <v>GUARDA-CORPO EM TUBO DE ACO GALVANIZADO (TIPO 1)</v>
      </c>
      <c r="E55" s="162" t="s">
        <v>87</v>
      </c>
      <c r="F55" s="164">
        <f>'Memória de cálculo'!I91</f>
        <v>51.1</v>
      </c>
      <c r="G55" s="165">
        <f t="shared" si="11"/>
        <v>644.94000000000005</v>
      </c>
      <c r="H55" s="165">
        <f>G55*F55</f>
        <v>32956.43</v>
      </c>
      <c r="I55" s="10"/>
      <c r="J55" s="43">
        <f>'COMPOSIÇÕES (2)'!F121</f>
        <v>501.9</v>
      </c>
      <c r="K55" s="10"/>
      <c r="L55" s="10"/>
      <c r="M55" s="10"/>
      <c r="N55" s="10"/>
      <c r="O55" s="10"/>
      <c r="P55" s="10"/>
      <c r="Q55" s="10"/>
      <c r="R55" s="10"/>
      <c r="S55" s="10"/>
      <c r="T55" s="10"/>
      <c r="U55" s="10"/>
      <c r="V55" s="10"/>
      <c r="W55" s="10"/>
      <c r="X55" s="10"/>
      <c r="Y55" s="10"/>
      <c r="Z55" s="10"/>
      <c r="AA55" s="10"/>
      <c r="AB55" s="10"/>
      <c r="AC55" s="10"/>
    </row>
    <row r="56" spans="1:29" s="8" customFormat="1" ht="30" customHeight="1" x14ac:dyDescent="0.25">
      <c r="A56" s="162" t="s">
        <v>238</v>
      </c>
      <c r="B56" s="162">
        <v>7</v>
      </c>
      <c r="C56" s="162" t="s">
        <v>149</v>
      </c>
      <c r="D56" s="172" t="str">
        <f>'COMPOSIÇÕES (2)'!B131</f>
        <v>GUARDA-CORPO EM TUBO DE ACO GALVANIZADO (TIPO 2)</v>
      </c>
      <c r="E56" s="162" t="s">
        <v>87</v>
      </c>
      <c r="F56" s="164">
        <f>'Memória de cálculo'!I93</f>
        <v>27</v>
      </c>
      <c r="G56" s="165">
        <f t="shared" si="11"/>
        <v>767.32</v>
      </c>
      <c r="H56" s="165">
        <f>G56*F56</f>
        <v>20717.64</v>
      </c>
      <c r="I56" s="10"/>
      <c r="J56" s="43">
        <f>'COMPOSIÇÕES (2)'!F139</f>
        <v>597.14</v>
      </c>
      <c r="K56" s="10"/>
      <c r="L56" s="10"/>
      <c r="M56" s="10"/>
      <c r="N56" s="10"/>
      <c r="O56" s="10"/>
      <c r="P56" s="10"/>
      <c r="Q56" s="10"/>
      <c r="R56" s="10"/>
      <c r="S56" s="10"/>
      <c r="T56" s="10"/>
      <c r="U56" s="10"/>
      <c r="V56" s="10"/>
      <c r="W56" s="10"/>
      <c r="X56" s="10"/>
      <c r="Y56" s="10"/>
      <c r="Z56" s="10"/>
      <c r="AA56" s="10"/>
      <c r="AB56" s="10"/>
      <c r="AC56" s="10"/>
    </row>
    <row r="57" spans="1:29" s="8" customFormat="1" ht="43.2" x14ac:dyDescent="0.25">
      <c r="A57" s="162" t="s">
        <v>26</v>
      </c>
      <c r="B57" s="162" t="s">
        <v>200</v>
      </c>
      <c r="C57" s="162" t="s">
        <v>201</v>
      </c>
      <c r="D57" s="172" t="s">
        <v>199</v>
      </c>
      <c r="E57" s="162" t="s">
        <v>86</v>
      </c>
      <c r="F57" s="164">
        <f>'Memória de cálculo'!I112</f>
        <v>212.73</v>
      </c>
      <c r="G57" s="165">
        <f t="shared" si="11"/>
        <v>20.75</v>
      </c>
      <c r="H57" s="165">
        <f>G57*F57</f>
        <v>4414.1499999999996</v>
      </c>
      <c r="I57" s="10"/>
      <c r="J57" s="43">
        <v>16.149999999999999</v>
      </c>
      <c r="K57" s="10"/>
      <c r="L57" s="176"/>
      <c r="M57" s="10"/>
      <c r="N57" s="10"/>
      <c r="O57" s="10"/>
      <c r="P57" s="10"/>
      <c r="Q57" s="10"/>
      <c r="R57" s="10"/>
      <c r="S57" s="10"/>
      <c r="T57" s="10"/>
      <c r="U57" s="10"/>
      <c r="V57" s="10"/>
      <c r="W57" s="10"/>
      <c r="X57" s="10"/>
      <c r="Y57" s="10"/>
      <c r="Z57" s="10"/>
      <c r="AA57" s="10"/>
      <c r="AB57" s="10"/>
      <c r="AC57" s="10"/>
    </row>
    <row r="58" spans="1:29" s="8" customFormat="1" x14ac:dyDescent="0.25">
      <c r="A58" s="162"/>
      <c r="B58" s="162"/>
      <c r="C58" s="162"/>
      <c r="D58" s="166" t="s">
        <v>29</v>
      </c>
      <c r="E58" s="167"/>
      <c r="F58" s="168"/>
      <c r="G58" s="165"/>
      <c r="H58" s="141">
        <f>SUM(H50:H57)</f>
        <v>59261.69</v>
      </c>
      <c r="I58" s="10"/>
      <c r="J58" s="44"/>
      <c r="K58" s="10"/>
      <c r="L58" s="10"/>
      <c r="M58" s="10"/>
      <c r="N58" s="10"/>
      <c r="O58" s="10"/>
      <c r="P58" s="10"/>
      <c r="Q58" s="10"/>
      <c r="R58" s="10"/>
      <c r="S58" s="10"/>
      <c r="T58" s="10"/>
      <c r="U58" s="10"/>
      <c r="V58" s="10"/>
      <c r="W58" s="10"/>
      <c r="X58" s="10"/>
      <c r="Y58" s="10"/>
      <c r="Z58" s="10"/>
      <c r="AA58" s="10"/>
      <c r="AB58" s="10"/>
      <c r="AC58" s="10"/>
    </row>
    <row r="59" spans="1:29" s="4" customFormat="1" x14ac:dyDescent="0.25">
      <c r="A59" s="162"/>
      <c r="B59" s="162"/>
      <c r="C59" s="162"/>
      <c r="D59" s="172"/>
      <c r="E59" s="162"/>
      <c r="F59" s="174"/>
      <c r="G59" s="21"/>
      <c r="H59" s="175"/>
      <c r="I59" s="13"/>
      <c r="J59" s="21"/>
      <c r="K59" s="13"/>
      <c r="L59" s="13"/>
      <c r="M59" s="13"/>
      <c r="N59" s="13"/>
      <c r="O59" s="13"/>
      <c r="P59" s="13"/>
      <c r="Q59" s="13"/>
      <c r="R59" s="13"/>
      <c r="S59" s="13"/>
      <c r="T59" s="13"/>
      <c r="U59" s="13"/>
      <c r="V59" s="13"/>
      <c r="W59" s="13"/>
      <c r="X59" s="13"/>
      <c r="Y59" s="13"/>
      <c r="Z59" s="13"/>
      <c r="AA59" s="13"/>
      <c r="AB59" s="13"/>
      <c r="AC59" s="13"/>
    </row>
    <row r="60" spans="1:29" s="8" customFormat="1" x14ac:dyDescent="0.25">
      <c r="A60" s="313" t="s">
        <v>5</v>
      </c>
      <c r="B60" s="313"/>
      <c r="C60" s="313"/>
      <c r="D60" s="313"/>
      <c r="E60" s="314">
        <f>SUM(H7:H58)/2</f>
        <v>194797.61</v>
      </c>
      <c r="F60" s="314"/>
      <c r="G60" s="314"/>
      <c r="H60" s="314"/>
      <c r="I60" s="10"/>
      <c r="J60" s="10"/>
      <c r="K60" s="10"/>
      <c r="L60" s="10"/>
      <c r="M60" s="10"/>
      <c r="N60" s="10"/>
      <c r="O60" s="10"/>
      <c r="P60" s="10"/>
      <c r="Q60" s="10"/>
      <c r="R60" s="10"/>
      <c r="S60" s="10"/>
      <c r="T60" s="10"/>
      <c r="U60" s="10"/>
      <c r="V60" s="10"/>
      <c r="W60" s="10"/>
      <c r="X60" s="10"/>
      <c r="Y60" s="10"/>
      <c r="Z60" s="10"/>
      <c r="AA60" s="10"/>
      <c r="AB60" s="10"/>
      <c r="AC60" s="10"/>
    </row>
    <row r="61" spans="1:29" ht="42.75" customHeight="1" x14ac:dyDescent="0.25">
      <c r="A61" s="22"/>
      <c r="B61" s="22"/>
      <c r="C61" s="22"/>
      <c r="D61" s="27"/>
      <c r="E61" s="22"/>
      <c r="F61" s="22"/>
      <c r="G61" s="23"/>
      <c r="H61" s="23"/>
      <c r="J61" s="23"/>
    </row>
    <row r="62" spans="1:29" x14ac:dyDescent="0.25">
      <c r="A62" s="22"/>
      <c r="B62" s="22"/>
      <c r="C62" s="22"/>
      <c r="D62" s="94" t="s">
        <v>182</v>
      </c>
      <c r="E62" s="22"/>
      <c r="F62" s="22"/>
      <c r="G62" s="23"/>
      <c r="H62" s="23"/>
    </row>
    <row r="63" spans="1:29" ht="11.25" customHeight="1" x14ac:dyDescent="0.25">
      <c r="A63" s="22"/>
      <c r="B63" s="22"/>
      <c r="C63" s="22"/>
      <c r="D63" s="95" t="s">
        <v>183</v>
      </c>
      <c r="E63" s="22"/>
      <c r="F63" s="22"/>
      <c r="G63" s="23"/>
      <c r="H63" s="23"/>
    </row>
  </sheetData>
  <mergeCells count="10">
    <mergeCell ref="A60:D60"/>
    <mergeCell ref="E60:H60"/>
    <mergeCell ref="A1:H1"/>
    <mergeCell ref="C4:C5"/>
    <mergeCell ref="B4:B5"/>
    <mergeCell ref="A4:A5"/>
    <mergeCell ref="D4:D5"/>
    <mergeCell ref="E4:E5"/>
    <mergeCell ref="F4:F5"/>
    <mergeCell ref="G4:H4"/>
  </mergeCells>
  <printOptions horizontalCentered="1"/>
  <pageMargins left="0.98425196850393704" right="0.59055118110236227" top="1.1811023622047245" bottom="1.1811023622047245" header="0.47244094488188981" footer="0.59055118110236227"/>
  <pageSetup paperSize="9" orientation="portrait" r:id="rId1"/>
  <headerFooter>
    <oddHeader>&amp;C&amp;"MV Boli,Normal Negrito"&amp;20&amp;G</oddHeader>
    <oddFooter>&amp;C&amp;"Trebuchet MS,Itálico"&amp;9Rua Pedro Caetano Domingues, nº 33, Quincas Machado, Guaçuí – ES / CNPJ: 21.861.470/0001-10 
       contato.vmengenharia@gmail.com / (28) 9 9963 2562 / (28) 9 9966 6524&amp;R&amp;"Trebuchet MS,Itálico"&amp;9&amp;P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8"/>
  <sheetViews>
    <sheetView showZeros="0" view="pageBreakPreview" zoomScale="130" zoomScaleNormal="90" zoomScaleSheetLayoutView="130" workbookViewId="0">
      <selection activeCell="B42" sqref="B42"/>
    </sheetView>
  </sheetViews>
  <sheetFormatPr defaultColWidth="14.6640625" defaultRowHeight="10.8" x14ac:dyDescent="0.2"/>
  <cols>
    <col min="1" max="1" width="7.44140625" style="89" customWidth="1"/>
    <col min="2" max="2" width="45.6640625" style="90" customWidth="1"/>
    <col min="3" max="3" width="6.44140625" style="91" customWidth="1"/>
    <col min="4" max="4" width="10.6640625" style="92" customWidth="1"/>
    <col min="5" max="8" width="10.6640625" style="93" customWidth="1"/>
    <col min="9" max="9" width="11.33203125" style="93" customWidth="1"/>
    <col min="10" max="255" width="14.6640625" style="45"/>
    <col min="256" max="256" width="7.44140625" style="45" customWidth="1"/>
    <col min="257" max="257" width="45.6640625" style="45" customWidth="1"/>
    <col min="258" max="258" width="6.44140625" style="45" customWidth="1"/>
    <col min="259" max="262" width="13.6640625" style="45" customWidth="1"/>
    <col min="263" max="264" width="12.6640625" style="45" customWidth="1"/>
    <col min="265" max="511" width="14.6640625" style="45"/>
    <col min="512" max="512" width="7.44140625" style="45" customWidth="1"/>
    <col min="513" max="513" width="45.6640625" style="45" customWidth="1"/>
    <col min="514" max="514" width="6.44140625" style="45" customWidth="1"/>
    <col min="515" max="518" width="13.6640625" style="45" customWidth="1"/>
    <col min="519" max="520" width="12.6640625" style="45" customWidth="1"/>
    <col min="521" max="767" width="14.6640625" style="45"/>
    <col min="768" max="768" width="7.44140625" style="45" customWidth="1"/>
    <col min="769" max="769" width="45.6640625" style="45" customWidth="1"/>
    <col min="770" max="770" width="6.44140625" style="45" customWidth="1"/>
    <col min="771" max="774" width="13.6640625" style="45" customWidth="1"/>
    <col min="775" max="776" width="12.6640625" style="45" customWidth="1"/>
    <col min="777" max="1023" width="14.6640625" style="45"/>
    <col min="1024" max="1024" width="7.44140625" style="45" customWidth="1"/>
    <col min="1025" max="1025" width="45.6640625" style="45" customWidth="1"/>
    <col min="1026" max="1026" width="6.44140625" style="45" customWidth="1"/>
    <col min="1027" max="1030" width="13.6640625" style="45" customWidth="1"/>
    <col min="1031" max="1032" width="12.6640625" style="45" customWidth="1"/>
    <col min="1033" max="1279" width="14.6640625" style="45"/>
    <col min="1280" max="1280" width="7.44140625" style="45" customWidth="1"/>
    <col min="1281" max="1281" width="45.6640625" style="45" customWidth="1"/>
    <col min="1282" max="1282" width="6.44140625" style="45" customWidth="1"/>
    <col min="1283" max="1286" width="13.6640625" style="45" customWidth="1"/>
    <col min="1287" max="1288" width="12.6640625" style="45" customWidth="1"/>
    <col min="1289" max="1535" width="14.6640625" style="45"/>
    <col min="1536" max="1536" width="7.44140625" style="45" customWidth="1"/>
    <col min="1537" max="1537" width="45.6640625" style="45" customWidth="1"/>
    <col min="1538" max="1538" width="6.44140625" style="45" customWidth="1"/>
    <col min="1539" max="1542" width="13.6640625" style="45" customWidth="1"/>
    <col min="1543" max="1544" width="12.6640625" style="45" customWidth="1"/>
    <col min="1545" max="1791" width="14.6640625" style="45"/>
    <col min="1792" max="1792" width="7.44140625" style="45" customWidth="1"/>
    <col min="1793" max="1793" width="45.6640625" style="45" customWidth="1"/>
    <col min="1794" max="1794" width="6.44140625" style="45" customWidth="1"/>
    <col min="1795" max="1798" width="13.6640625" style="45" customWidth="1"/>
    <col min="1799" max="1800" width="12.6640625" style="45" customWidth="1"/>
    <col min="1801" max="2047" width="14.6640625" style="45"/>
    <col min="2048" max="2048" width="7.44140625" style="45" customWidth="1"/>
    <col min="2049" max="2049" width="45.6640625" style="45" customWidth="1"/>
    <col min="2050" max="2050" width="6.44140625" style="45" customWidth="1"/>
    <col min="2051" max="2054" width="13.6640625" style="45" customWidth="1"/>
    <col min="2055" max="2056" width="12.6640625" style="45" customWidth="1"/>
    <col min="2057" max="2303" width="14.6640625" style="45"/>
    <col min="2304" max="2304" width="7.44140625" style="45" customWidth="1"/>
    <col min="2305" max="2305" width="45.6640625" style="45" customWidth="1"/>
    <col min="2306" max="2306" width="6.44140625" style="45" customWidth="1"/>
    <col min="2307" max="2310" width="13.6640625" style="45" customWidth="1"/>
    <col min="2311" max="2312" width="12.6640625" style="45" customWidth="1"/>
    <col min="2313" max="2559" width="14.6640625" style="45"/>
    <col min="2560" max="2560" width="7.44140625" style="45" customWidth="1"/>
    <col min="2561" max="2561" width="45.6640625" style="45" customWidth="1"/>
    <col min="2562" max="2562" width="6.44140625" style="45" customWidth="1"/>
    <col min="2563" max="2566" width="13.6640625" style="45" customWidth="1"/>
    <col min="2567" max="2568" width="12.6640625" style="45" customWidth="1"/>
    <col min="2569" max="2815" width="14.6640625" style="45"/>
    <col min="2816" max="2816" width="7.44140625" style="45" customWidth="1"/>
    <col min="2817" max="2817" width="45.6640625" style="45" customWidth="1"/>
    <col min="2818" max="2818" width="6.44140625" style="45" customWidth="1"/>
    <col min="2819" max="2822" width="13.6640625" style="45" customWidth="1"/>
    <col min="2823" max="2824" width="12.6640625" style="45" customWidth="1"/>
    <col min="2825" max="3071" width="14.6640625" style="45"/>
    <col min="3072" max="3072" width="7.44140625" style="45" customWidth="1"/>
    <col min="3073" max="3073" width="45.6640625" style="45" customWidth="1"/>
    <col min="3074" max="3074" width="6.44140625" style="45" customWidth="1"/>
    <col min="3075" max="3078" width="13.6640625" style="45" customWidth="1"/>
    <col min="3079" max="3080" width="12.6640625" style="45" customWidth="1"/>
    <col min="3081" max="3327" width="14.6640625" style="45"/>
    <col min="3328" max="3328" width="7.44140625" style="45" customWidth="1"/>
    <col min="3329" max="3329" width="45.6640625" style="45" customWidth="1"/>
    <col min="3330" max="3330" width="6.44140625" style="45" customWidth="1"/>
    <col min="3331" max="3334" width="13.6640625" style="45" customWidth="1"/>
    <col min="3335" max="3336" width="12.6640625" style="45" customWidth="1"/>
    <col min="3337" max="3583" width="14.6640625" style="45"/>
    <col min="3584" max="3584" width="7.44140625" style="45" customWidth="1"/>
    <col min="3585" max="3585" width="45.6640625" style="45" customWidth="1"/>
    <col min="3586" max="3586" width="6.44140625" style="45" customWidth="1"/>
    <col min="3587" max="3590" width="13.6640625" style="45" customWidth="1"/>
    <col min="3591" max="3592" width="12.6640625" style="45" customWidth="1"/>
    <col min="3593" max="3839" width="14.6640625" style="45"/>
    <col min="3840" max="3840" width="7.44140625" style="45" customWidth="1"/>
    <col min="3841" max="3841" width="45.6640625" style="45" customWidth="1"/>
    <col min="3842" max="3842" width="6.44140625" style="45" customWidth="1"/>
    <col min="3843" max="3846" width="13.6640625" style="45" customWidth="1"/>
    <col min="3847" max="3848" width="12.6640625" style="45" customWidth="1"/>
    <col min="3849" max="4095" width="14.6640625" style="45"/>
    <col min="4096" max="4096" width="7.44140625" style="45" customWidth="1"/>
    <col min="4097" max="4097" width="45.6640625" style="45" customWidth="1"/>
    <col min="4098" max="4098" width="6.44140625" style="45" customWidth="1"/>
    <col min="4099" max="4102" width="13.6640625" style="45" customWidth="1"/>
    <col min="4103" max="4104" width="12.6640625" style="45" customWidth="1"/>
    <col min="4105" max="4351" width="14.6640625" style="45"/>
    <col min="4352" max="4352" width="7.44140625" style="45" customWidth="1"/>
    <col min="4353" max="4353" width="45.6640625" style="45" customWidth="1"/>
    <col min="4354" max="4354" width="6.44140625" style="45" customWidth="1"/>
    <col min="4355" max="4358" width="13.6640625" style="45" customWidth="1"/>
    <col min="4359" max="4360" width="12.6640625" style="45" customWidth="1"/>
    <col min="4361" max="4607" width="14.6640625" style="45"/>
    <col min="4608" max="4608" width="7.44140625" style="45" customWidth="1"/>
    <col min="4609" max="4609" width="45.6640625" style="45" customWidth="1"/>
    <col min="4610" max="4610" width="6.44140625" style="45" customWidth="1"/>
    <col min="4611" max="4614" width="13.6640625" style="45" customWidth="1"/>
    <col min="4615" max="4616" width="12.6640625" style="45" customWidth="1"/>
    <col min="4617" max="4863" width="14.6640625" style="45"/>
    <col min="4864" max="4864" width="7.44140625" style="45" customWidth="1"/>
    <col min="4865" max="4865" width="45.6640625" style="45" customWidth="1"/>
    <col min="4866" max="4866" width="6.44140625" style="45" customWidth="1"/>
    <col min="4867" max="4870" width="13.6640625" style="45" customWidth="1"/>
    <col min="4871" max="4872" width="12.6640625" style="45" customWidth="1"/>
    <col min="4873" max="5119" width="14.6640625" style="45"/>
    <col min="5120" max="5120" width="7.44140625" style="45" customWidth="1"/>
    <col min="5121" max="5121" width="45.6640625" style="45" customWidth="1"/>
    <col min="5122" max="5122" width="6.44140625" style="45" customWidth="1"/>
    <col min="5123" max="5126" width="13.6640625" style="45" customWidth="1"/>
    <col min="5127" max="5128" width="12.6640625" style="45" customWidth="1"/>
    <col min="5129" max="5375" width="14.6640625" style="45"/>
    <col min="5376" max="5376" width="7.44140625" style="45" customWidth="1"/>
    <col min="5377" max="5377" width="45.6640625" style="45" customWidth="1"/>
    <col min="5378" max="5378" width="6.44140625" style="45" customWidth="1"/>
    <col min="5379" max="5382" width="13.6640625" style="45" customWidth="1"/>
    <col min="5383" max="5384" width="12.6640625" style="45" customWidth="1"/>
    <col min="5385" max="5631" width="14.6640625" style="45"/>
    <col min="5632" max="5632" width="7.44140625" style="45" customWidth="1"/>
    <col min="5633" max="5633" width="45.6640625" style="45" customWidth="1"/>
    <col min="5634" max="5634" width="6.44140625" style="45" customWidth="1"/>
    <col min="5635" max="5638" width="13.6640625" style="45" customWidth="1"/>
    <col min="5639" max="5640" width="12.6640625" style="45" customWidth="1"/>
    <col min="5641" max="5887" width="14.6640625" style="45"/>
    <col min="5888" max="5888" width="7.44140625" style="45" customWidth="1"/>
    <col min="5889" max="5889" width="45.6640625" style="45" customWidth="1"/>
    <col min="5890" max="5890" width="6.44140625" style="45" customWidth="1"/>
    <col min="5891" max="5894" width="13.6640625" style="45" customWidth="1"/>
    <col min="5895" max="5896" width="12.6640625" style="45" customWidth="1"/>
    <col min="5897" max="6143" width="14.6640625" style="45"/>
    <col min="6144" max="6144" width="7.44140625" style="45" customWidth="1"/>
    <col min="6145" max="6145" width="45.6640625" style="45" customWidth="1"/>
    <col min="6146" max="6146" width="6.44140625" style="45" customWidth="1"/>
    <col min="6147" max="6150" width="13.6640625" style="45" customWidth="1"/>
    <col min="6151" max="6152" width="12.6640625" style="45" customWidth="1"/>
    <col min="6153" max="6399" width="14.6640625" style="45"/>
    <col min="6400" max="6400" width="7.44140625" style="45" customWidth="1"/>
    <col min="6401" max="6401" width="45.6640625" style="45" customWidth="1"/>
    <col min="6402" max="6402" width="6.44140625" style="45" customWidth="1"/>
    <col min="6403" max="6406" width="13.6640625" style="45" customWidth="1"/>
    <col min="6407" max="6408" width="12.6640625" style="45" customWidth="1"/>
    <col min="6409" max="6655" width="14.6640625" style="45"/>
    <col min="6656" max="6656" width="7.44140625" style="45" customWidth="1"/>
    <col min="6657" max="6657" width="45.6640625" style="45" customWidth="1"/>
    <col min="6658" max="6658" width="6.44140625" style="45" customWidth="1"/>
    <col min="6659" max="6662" width="13.6640625" style="45" customWidth="1"/>
    <col min="6663" max="6664" width="12.6640625" style="45" customWidth="1"/>
    <col min="6665" max="6911" width="14.6640625" style="45"/>
    <col min="6912" max="6912" width="7.44140625" style="45" customWidth="1"/>
    <col min="6913" max="6913" width="45.6640625" style="45" customWidth="1"/>
    <col min="6914" max="6914" width="6.44140625" style="45" customWidth="1"/>
    <col min="6915" max="6918" width="13.6640625" style="45" customWidth="1"/>
    <col min="6919" max="6920" width="12.6640625" style="45" customWidth="1"/>
    <col min="6921" max="7167" width="14.6640625" style="45"/>
    <col min="7168" max="7168" width="7.44140625" style="45" customWidth="1"/>
    <col min="7169" max="7169" width="45.6640625" style="45" customWidth="1"/>
    <col min="7170" max="7170" width="6.44140625" style="45" customWidth="1"/>
    <col min="7171" max="7174" width="13.6640625" style="45" customWidth="1"/>
    <col min="7175" max="7176" width="12.6640625" style="45" customWidth="1"/>
    <col min="7177" max="7423" width="14.6640625" style="45"/>
    <col min="7424" max="7424" width="7.44140625" style="45" customWidth="1"/>
    <col min="7425" max="7425" width="45.6640625" style="45" customWidth="1"/>
    <col min="7426" max="7426" width="6.44140625" style="45" customWidth="1"/>
    <col min="7427" max="7430" width="13.6640625" style="45" customWidth="1"/>
    <col min="7431" max="7432" width="12.6640625" style="45" customWidth="1"/>
    <col min="7433" max="7679" width="14.6640625" style="45"/>
    <col min="7680" max="7680" width="7.44140625" style="45" customWidth="1"/>
    <col min="7681" max="7681" width="45.6640625" style="45" customWidth="1"/>
    <col min="7682" max="7682" width="6.44140625" style="45" customWidth="1"/>
    <col min="7683" max="7686" width="13.6640625" style="45" customWidth="1"/>
    <col min="7687" max="7688" width="12.6640625" style="45" customWidth="1"/>
    <col min="7689" max="7935" width="14.6640625" style="45"/>
    <col min="7936" max="7936" width="7.44140625" style="45" customWidth="1"/>
    <col min="7937" max="7937" width="45.6640625" style="45" customWidth="1"/>
    <col min="7938" max="7938" width="6.44140625" style="45" customWidth="1"/>
    <col min="7939" max="7942" width="13.6640625" style="45" customWidth="1"/>
    <col min="7943" max="7944" width="12.6640625" style="45" customWidth="1"/>
    <col min="7945" max="8191" width="14.6640625" style="45"/>
    <col min="8192" max="8192" width="7.44140625" style="45" customWidth="1"/>
    <col min="8193" max="8193" width="45.6640625" style="45" customWidth="1"/>
    <col min="8194" max="8194" width="6.44140625" style="45" customWidth="1"/>
    <col min="8195" max="8198" width="13.6640625" style="45" customWidth="1"/>
    <col min="8199" max="8200" width="12.6640625" style="45" customWidth="1"/>
    <col min="8201" max="8447" width="14.6640625" style="45"/>
    <col min="8448" max="8448" width="7.44140625" style="45" customWidth="1"/>
    <col min="8449" max="8449" width="45.6640625" style="45" customWidth="1"/>
    <col min="8450" max="8450" width="6.44140625" style="45" customWidth="1"/>
    <col min="8451" max="8454" width="13.6640625" style="45" customWidth="1"/>
    <col min="8455" max="8456" width="12.6640625" style="45" customWidth="1"/>
    <col min="8457" max="8703" width="14.6640625" style="45"/>
    <col min="8704" max="8704" width="7.44140625" style="45" customWidth="1"/>
    <col min="8705" max="8705" width="45.6640625" style="45" customWidth="1"/>
    <col min="8706" max="8706" width="6.44140625" style="45" customWidth="1"/>
    <col min="8707" max="8710" width="13.6640625" style="45" customWidth="1"/>
    <col min="8711" max="8712" width="12.6640625" style="45" customWidth="1"/>
    <col min="8713" max="8959" width="14.6640625" style="45"/>
    <col min="8960" max="8960" width="7.44140625" style="45" customWidth="1"/>
    <col min="8961" max="8961" width="45.6640625" style="45" customWidth="1"/>
    <col min="8962" max="8962" width="6.44140625" style="45" customWidth="1"/>
    <col min="8963" max="8966" width="13.6640625" style="45" customWidth="1"/>
    <col min="8967" max="8968" width="12.6640625" style="45" customWidth="1"/>
    <col min="8969" max="9215" width="14.6640625" style="45"/>
    <col min="9216" max="9216" width="7.44140625" style="45" customWidth="1"/>
    <col min="9217" max="9217" width="45.6640625" style="45" customWidth="1"/>
    <col min="9218" max="9218" width="6.44140625" style="45" customWidth="1"/>
    <col min="9219" max="9222" width="13.6640625" style="45" customWidth="1"/>
    <col min="9223" max="9224" width="12.6640625" style="45" customWidth="1"/>
    <col min="9225" max="9471" width="14.6640625" style="45"/>
    <col min="9472" max="9472" width="7.44140625" style="45" customWidth="1"/>
    <col min="9473" max="9473" width="45.6640625" style="45" customWidth="1"/>
    <col min="9474" max="9474" width="6.44140625" style="45" customWidth="1"/>
    <col min="9475" max="9478" width="13.6640625" style="45" customWidth="1"/>
    <col min="9479" max="9480" width="12.6640625" style="45" customWidth="1"/>
    <col min="9481" max="9727" width="14.6640625" style="45"/>
    <col min="9728" max="9728" width="7.44140625" style="45" customWidth="1"/>
    <col min="9729" max="9729" width="45.6640625" style="45" customWidth="1"/>
    <col min="9730" max="9730" width="6.44140625" style="45" customWidth="1"/>
    <col min="9731" max="9734" width="13.6640625" style="45" customWidth="1"/>
    <col min="9735" max="9736" width="12.6640625" style="45" customWidth="1"/>
    <col min="9737" max="9983" width="14.6640625" style="45"/>
    <col min="9984" max="9984" width="7.44140625" style="45" customWidth="1"/>
    <col min="9985" max="9985" width="45.6640625" style="45" customWidth="1"/>
    <col min="9986" max="9986" width="6.44140625" style="45" customWidth="1"/>
    <col min="9987" max="9990" width="13.6640625" style="45" customWidth="1"/>
    <col min="9991" max="9992" width="12.6640625" style="45" customWidth="1"/>
    <col min="9993" max="10239" width="14.6640625" style="45"/>
    <col min="10240" max="10240" width="7.44140625" style="45" customWidth="1"/>
    <col min="10241" max="10241" width="45.6640625" style="45" customWidth="1"/>
    <col min="10242" max="10242" width="6.44140625" style="45" customWidth="1"/>
    <col min="10243" max="10246" width="13.6640625" style="45" customWidth="1"/>
    <col min="10247" max="10248" width="12.6640625" style="45" customWidth="1"/>
    <col min="10249" max="10495" width="14.6640625" style="45"/>
    <col min="10496" max="10496" width="7.44140625" style="45" customWidth="1"/>
    <col min="10497" max="10497" width="45.6640625" style="45" customWidth="1"/>
    <col min="10498" max="10498" width="6.44140625" style="45" customWidth="1"/>
    <col min="10499" max="10502" width="13.6640625" style="45" customWidth="1"/>
    <col min="10503" max="10504" width="12.6640625" style="45" customWidth="1"/>
    <col min="10505" max="10751" width="14.6640625" style="45"/>
    <col min="10752" max="10752" width="7.44140625" style="45" customWidth="1"/>
    <col min="10753" max="10753" width="45.6640625" style="45" customWidth="1"/>
    <col min="10754" max="10754" width="6.44140625" style="45" customWidth="1"/>
    <col min="10755" max="10758" width="13.6640625" style="45" customWidth="1"/>
    <col min="10759" max="10760" width="12.6640625" style="45" customWidth="1"/>
    <col min="10761" max="11007" width="14.6640625" style="45"/>
    <col min="11008" max="11008" width="7.44140625" style="45" customWidth="1"/>
    <col min="11009" max="11009" width="45.6640625" style="45" customWidth="1"/>
    <col min="11010" max="11010" width="6.44140625" style="45" customWidth="1"/>
    <col min="11011" max="11014" width="13.6640625" style="45" customWidth="1"/>
    <col min="11015" max="11016" width="12.6640625" style="45" customWidth="1"/>
    <col min="11017" max="11263" width="14.6640625" style="45"/>
    <col min="11264" max="11264" width="7.44140625" style="45" customWidth="1"/>
    <col min="11265" max="11265" width="45.6640625" style="45" customWidth="1"/>
    <col min="11266" max="11266" width="6.44140625" style="45" customWidth="1"/>
    <col min="11267" max="11270" width="13.6640625" style="45" customWidth="1"/>
    <col min="11271" max="11272" width="12.6640625" style="45" customWidth="1"/>
    <col min="11273" max="11519" width="14.6640625" style="45"/>
    <col min="11520" max="11520" width="7.44140625" style="45" customWidth="1"/>
    <col min="11521" max="11521" width="45.6640625" style="45" customWidth="1"/>
    <col min="11522" max="11522" width="6.44140625" style="45" customWidth="1"/>
    <col min="11523" max="11526" width="13.6640625" style="45" customWidth="1"/>
    <col min="11527" max="11528" width="12.6640625" style="45" customWidth="1"/>
    <col min="11529" max="11775" width="14.6640625" style="45"/>
    <col min="11776" max="11776" width="7.44140625" style="45" customWidth="1"/>
    <col min="11777" max="11777" width="45.6640625" style="45" customWidth="1"/>
    <col min="11778" max="11778" width="6.44140625" style="45" customWidth="1"/>
    <col min="11779" max="11782" width="13.6640625" style="45" customWidth="1"/>
    <col min="11783" max="11784" width="12.6640625" style="45" customWidth="1"/>
    <col min="11785" max="12031" width="14.6640625" style="45"/>
    <col min="12032" max="12032" width="7.44140625" style="45" customWidth="1"/>
    <col min="12033" max="12033" width="45.6640625" style="45" customWidth="1"/>
    <col min="12034" max="12034" width="6.44140625" style="45" customWidth="1"/>
    <col min="12035" max="12038" width="13.6640625" style="45" customWidth="1"/>
    <col min="12039" max="12040" width="12.6640625" style="45" customWidth="1"/>
    <col min="12041" max="12287" width="14.6640625" style="45"/>
    <col min="12288" max="12288" width="7.44140625" style="45" customWidth="1"/>
    <col min="12289" max="12289" width="45.6640625" style="45" customWidth="1"/>
    <col min="12290" max="12290" width="6.44140625" style="45" customWidth="1"/>
    <col min="12291" max="12294" width="13.6640625" style="45" customWidth="1"/>
    <col min="12295" max="12296" width="12.6640625" style="45" customWidth="1"/>
    <col min="12297" max="12543" width="14.6640625" style="45"/>
    <col min="12544" max="12544" width="7.44140625" style="45" customWidth="1"/>
    <col min="12545" max="12545" width="45.6640625" style="45" customWidth="1"/>
    <col min="12546" max="12546" width="6.44140625" style="45" customWidth="1"/>
    <col min="12547" max="12550" width="13.6640625" style="45" customWidth="1"/>
    <col min="12551" max="12552" width="12.6640625" style="45" customWidth="1"/>
    <col min="12553" max="12799" width="14.6640625" style="45"/>
    <col min="12800" max="12800" width="7.44140625" style="45" customWidth="1"/>
    <col min="12801" max="12801" width="45.6640625" style="45" customWidth="1"/>
    <col min="12802" max="12802" width="6.44140625" style="45" customWidth="1"/>
    <col min="12803" max="12806" width="13.6640625" style="45" customWidth="1"/>
    <col min="12807" max="12808" width="12.6640625" style="45" customWidth="1"/>
    <col min="12809" max="13055" width="14.6640625" style="45"/>
    <col min="13056" max="13056" width="7.44140625" style="45" customWidth="1"/>
    <col min="13057" max="13057" width="45.6640625" style="45" customWidth="1"/>
    <col min="13058" max="13058" width="6.44140625" style="45" customWidth="1"/>
    <col min="13059" max="13062" width="13.6640625" style="45" customWidth="1"/>
    <col min="13063" max="13064" width="12.6640625" style="45" customWidth="1"/>
    <col min="13065" max="13311" width="14.6640625" style="45"/>
    <col min="13312" max="13312" width="7.44140625" style="45" customWidth="1"/>
    <col min="13313" max="13313" width="45.6640625" style="45" customWidth="1"/>
    <col min="13314" max="13314" width="6.44140625" style="45" customWidth="1"/>
    <col min="13315" max="13318" width="13.6640625" style="45" customWidth="1"/>
    <col min="13319" max="13320" width="12.6640625" style="45" customWidth="1"/>
    <col min="13321" max="13567" width="14.6640625" style="45"/>
    <col min="13568" max="13568" width="7.44140625" style="45" customWidth="1"/>
    <col min="13569" max="13569" width="45.6640625" style="45" customWidth="1"/>
    <col min="13570" max="13570" width="6.44140625" style="45" customWidth="1"/>
    <col min="13571" max="13574" width="13.6640625" style="45" customWidth="1"/>
    <col min="13575" max="13576" width="12.6640625" style="45" customWidth="1"/>
    <col min="13577" max="13823" width="14.6640625" style="45"/>
    <col min="13824" max="13824" width="7.44140625" style="45" customWidth="1"/>
    <col min="13825" max="13825" width="45.6640625" style="45" customWidth="1"/>
    <col min="13826" max="13826" width="6.44140625" style="45" customWidth="1"/>
    <col min="13827" max="13830" width="13.6640625" style="45" customWidth="1"/>
    <col min="13831" max="13832" width="12.6640625" style="45" customWidth="1"/>
    <col min="13833" max="14079" width="14.6640625" style="45"/>
    <col min="14080" max="14080" width="7.44140625" style="45" customWidth="1"/>
    <col min="14081" max="14081" width="45.6640625" style="45" customWidth="1"/>
    <col min="14082" max="14082" width="6.44140625" style="45" customWidth="1"/>
    <col min="14083" max="14086" width="13.6640625" style="45" customWidth="1"/>
    <col min="14087" max="14088" width="12.6640625" style="45" customWidth="1"/>
    <col min="14089" max="14335" width="14.6640625" style="45"/>
    <col min="14336" max="14336" width="7.44140625" style="45" customWidth="1"/>
    <col min="14337" max="14337" width="45.6640625" style="45" customWidth="1"/>
    <col min="14338" max="14338" width="6.44140625" style="45" customWidth="1"/>
    <col min="14339" max="14342" width="13.6640625" style="45" customWidth="1"/>
    <col min="14343" max="14344" width="12.6640625" style="45" customWidth="1"/>
    <col min="14345" max="14591" width="14.6640625" style="45"/>
    <col min="14592" max="14592" width="7.44140625" style="45" customWidth="1"/>
    <col min="14593" max="14593" width="45.6640625" style="45" customWidth="1"/>
    <col min="14594" max="14594" width="6.44140625" style="45" customWidth="1"/>
    <col min="14595" max="14598" width="13.6640625" style="45" customWidth="1"/>
    <col min="14599" max="14600" width="12.6640625" style="45" customWidth="1"/>
    <col min="14601" max="14847" width="14.6640625" style="45"/>
    <col min="14848" max="14848" width="7.44140625" style="45" customWidth="1"/>
    <col min="14849" max="14849" width="45.6640625" style="45" customWidth="1"/>
    <col min="14850" max="14850" width="6.44140625" style="45" customWidth="1"/>
    <col min="14851" max="14854" width="13.6640625" style="45" customWidth="1"/>
    <col min="14855" max="14856" width="12.6640625" style="45" customWidth="1"/>
    <col min="14857" max="15103" width="14.6640625" style="45"/>
    <col min="15104" max="15104" width="7.44140625" style="45" customWidth="1"/>
    <col min="15105" max="15105" width="45.6640625" style="45" customWidth="1"/>
    <col min="15106" max="15106" width="6.44140625" style="45" customWidth="1"/>
    <col min="15107" max="15110" width="13.6640625" style="45" customWidth="1"/>
    <col min="15111" max="15112" width="12.6640625" style="45" customWidth="1"/>
    <col min="15113" max="15359" width="14.6640625" style="45"/>
    <col min="15360" max="15360" width="7.44140625" style="45" customWidth="1"/>
    <col min="15361" max="15361" width="45.6640625" style="45" customWidth="1"/>
    <col min="15362" max="15362" width="6.44140625" style="45" customWidth="1"/>
    <col min="15363" max="15366" width="13.6640625" style="45" customWidth="1"/>
    <col min="15367" max="15368" width="12.6640625" style="45" customWidth="1"/>
    <col min="15369" max="15615" width="14.6640625" style="45"/>
    <col min="15616" max="15616" width="7.44140625" style="45" customWidth="1"/>
    <col min="15617" max="15617" width="45.6640625" style="45" customWidth="1"/>
    <col min="15618" max="15618" width="6.44140625" style="45" customWidth="1"/>
    <col min="15619" max="15622" width="13.6640625" style="45" customWidth="1"/>
    <col min="15623" max="15624" width="12.6640625" style="45" customWidth="1"/>
    <col min="15625" max="15871" width="14.6640625" style="45"/>
    <col min="15872" max="15872" width="7.44140625" style="45" customWidth="1"/>
    <col min="15873" max="15873" width="45.6640625" style="45" customWidth="1"/>
    <col min="15874" max="15874" width="6.44140625" style="45" customWidth="1"/>
    <col min="15875" max="15878" width="13.6640625" style="45" customWidth="1"/>
    <col min="15879" max="15880" width="12.6640625" style="45" customWidth="1"/>
    <col min="15881" max="16127" width="14.6640625" style="45"/>
    <col min="16128" max="16128" width="7.44140625" style="45" customWidth="1"/>
    <col min="16129" max="16129" width="45.6640625" style="45" customWidth="1"/>
    <col min="16130" max="16130" width="6.44140625" style="45" customWidth="1"/>
    <col min="16131" max="16134" width="13.6640625" style="45" customWidth="1"/>
    <col min="16135" max="16136" width="12.6640625" style="45" customWidth="1"/>
    <col min="16137" max="16384" width="14.6640625" style="45"/>
  </cols>
  <sheetData>
    <row r="1" spans="1:9" ht="17.399999999999999" x14ac:dyDescent="0.2">
      <c r="A1" s="320" t="s">
        <v>20</v>
      </c>
      <c r="B1" s="320"/>
      <c r="C1" s="320"/>
      <c r="D1" s="320"/>
      <c r="E1" s="320"/>
      <c r="F1" s="320"/>
      <c r="G1" s="320"/>
      <c r="H1" s="320"/>
      <c r="I1" s="320"/>
    </row>
    <row r="2" spans="1:9" x14ac:dyDescent="0.2">
      <c r="A2" s="321" t="s">
        <v>180</v>
      </c>
      <c r="B2" s="321"/>
      <c r="C2" s="82"/>
      <c r="D2" s="96"/>
      <c r="E2" s="97"/>
      <c r="F2" s="97"/>
      <c r="G2" s="98"/>
      <c r="H2" s="99"/>
      <c r="I2" s="245"/>
    </row>
    <row r="3" spans="1:9" x14ac:dyDescent="0.2">
      <c r="A3" s="321" t="s">
        <v>181</v>
      </c>
      <c r="B3" s="321"/>
      <c r="C3" s="82"/>
      <c r="D3" s="96"/>
      <c r="E3" s="97"/>
      <c r="F3" s="97"/>
      <c r="G3" s="98"/>
      <c r="H3" s="100"/>
      <c r="I3" s="46"/>
    </row>
    <row r="4" spans="1:9" ht="10.199999999999999" x14ac:dyDescent="0.2">
      <c r="A4" s="322" t="s">
        <v>0</v>
      </c>
      <c r="B4" s="322" t="s">
        <v>31</v>
      </c>
      <c r="C4" s="322" t="s">
        <v>32</v>
      </c>
      <c r="D4" s="322"/>
      <c r="E4" s="322"/>
      <c r="F4" s="322"/>
      <c r="G4" s="322"/>
      <c r="H4" s="322"/>
      <c r="I4" s="322"/>
    </row>
    <row r="5" spans="1:9" ht="10.199999999999999" x14ac:dyDescent="0.2">
      <c r="A5" s="322"/>
      <c r="B5" s="322"/>
      <c r="C5" s="230" t="s">
        <v>33</v>
      </c>
      <c r="D5" s="323" t="s">
        <v>34</v>
      </c>
      <c r="E5" s="323"/>
      <c r="F5" s="323"/>
      <c r="G5" s="323"/>
      <c r="H5" s="323"/>
      <c r="I5" s="230" t="s">
        <v>6</v>
      </c>
    </row>
    <row r="6" spans="1:9" x14ac:dyDescent="0.2">
      <c r="A6" s="47" t="s">
        <v>42</v>
      </c>
      <c r="B6" s="48" t="str">
        <f>'Planilha Orçamentária'!D6</f>
        <v>ADMINISTRAÇÃO LOCAL</v>
      </c>
      <c r="C6" s="49">
        <v>0</v>
      </c>
      <c r="D6" s="50"/>
      <c r="E6" s="50"/>
      <c r="F6" s="50"/>
      <c r="G6" s="50"/>
      <c r="H6" s="51"/>
      <c r="I6" s="105"/>
    </row>
    <row r="7" spans="1:9" ht="15.6" customHeight="1" x14ac:dyDescent="0.2">
      <c r="A7" s="246" t="str">
        <f>'Planilha Orçamentária'!C7</f>
        <v>1.1</v>
      </c>
      <c r="B7" s="101" t="str">
        <f>'Planilha Orçamentária'!D7</f>
        <v>ADMINISTRATIVO LOCAL</v>
      </c>
      <c r="C7" s="248" t="str">
        <f>'Planilha Orçamentária'!E7</f>
        <v>UND</v>
      </c>
      <c r="D7" s="53"/>
      <c r="E7" s="53"/>
      <c r="F7" s="53"/>
      <c r="G7" s="53"/>
      <c r="H7" s="53" t="s">
        <v>39</v>
      </c>
      <c r="I7" s="106"/>
    </row>
    <row r="8" spans="1:9" x14ac:dyDescent="0.25">
      <c r="A8" s="54"/>
      <c r="B8" s="55" t="s">
        <v>206</v>
      </c>
      <c r="C8" s="114"/>
      <c r="D8" s="56"/>
      <c r="E8" s="56"/>
      <c r="F8" s="57"/>
      <c r="G8" s="57"/>
      <c r="H8" s="57">
        <v>1</v>
      </c>
      <c r="I8" s="112">
        <f>H8</f>
        <v>1</v>
      </c>
    </row>
    <row r="9" spans="1:9" x14ac:dyDescent="0.2">
      <c r="A9" s="47" t="s">
        <v>44</v>
      </c>
      <c r="B9" s="48" t="str">
        <f>'Planilha Orçamentária'!D9</f>
        <v>SERVIÇOS PRELIMINARES</v>
      </c>
      <c r="C9" s="49">
        <v>0</v>
      </c>
      <c r="D9" s="50"/>
      <c r="E9" s="50"/>
      <c r="F9" s="50"/>
      <c r="G9" s="50"/>
      <c r="H9" s="51"/>
      <c r="I9" s="107"/>
    </row>
    <row r="10" spans="1:9" ht="35.4" customHeight="1" x14ac:dyDescent="0.2">
      <c r="A10" s="246" t="str">
        <f>'Planilha Orçamentária'!C10</f>
        <v>2.1</v>
      </c>
      <c r="B10" s="247" t="str">
        <f>'Planilha Orçamentária'!D10</f>
        <v>DEMOLIÇÃO DE PILARES E VIGAS EM CONCRETO ARMADO, DE FORMA MECANIZADA COM MARTELETE, SEM REAPROVEITAMENTO. AF_12/2017</v>
      </c>
      <c r="C10" s="246" t="str">
        <f>'Planilha Orçamentária'!E10</f>
        <v>M³</v>
      </c>
      <c r="D10" s="53" t="s">
        <v>38</v>
      </c>
      <c r="E10" s="53" t="s">
        <v>37</v>
      </c>
      <c r="F10" s="53" t="s">
        <v>36</v>
      </c>
      <c r="G10" s="53" t="s">
        <v>142</v>
      </c>
      <c r="H10" s="58" t="s">
        <v>39</v>
      </c>
      <c r="I10" s="108"/>
    </row>
    <row r="11" spans="1:9" ht="21.6" x14ac:dyDescent="0.2">
      <c r="A11" s="59"/>
      <c r="B11" s="60" t="s">
        <v>141</v>
      </c>
      <c r="C11" s="114"/>
      <c r="D11" s="61">
        <v>0.9</v>
      </c>
      <c r="E11" s="61">
        <v>0.15</v>
      </c>
      <c r="F11" s="61">
        <v>0.15</v>
      </c>
      <c r="G11" s="57">
        <v>25</v>
      </c>
      <c r="H11" s="111">
        <f>G11*F11*E11*D11</f>
        <v>0.51</v>
      </c>
      <c r="I11" s="109"/>
    </row>
    <row r="12" spans="1:9" ht="21.6" x14ac:dyDescent="0.2">
      <c r="A12" s="59"/>
      <c r="B12" s="60" t="s">
        <v>141</v>
      </c>
      <c r="C12" s="114"/>
      <c r="D12" s="57">
        <v>0.9</v>
      </c>
      <c r="E12" s="57">
        <v>0.25</v>
      </c>
      <c r="F12" s="57">
        <v>0.45</v>
      </c>
      <c r="G12" s="57">
        <v>4</v>
      </c>
      <c r="H12" s="111">
        <f>G12*F12*E12*D12</f>
        <v>0.41</v>
      </c>
      <c r="I12" s="110"/>
    </row>
    <row r="13" spans="1:9" ht="21.6" x14ac:dyDescent="0.2">
      <c r="A13" s="59"/>
      <c r="B13" s="60" t="s">
        <v>143</v>
      </c>
      <c r="C13" s="114"/>
      <c r="D13" s="57">
        <v>0.2</v>
      </c>
      <c r="E13" s="57">
        <v>0.2</v>
      </c>
      <c r="F13" s="57">
        <f>27+25.4</f>
        <v>52.4</v>
      </c>
      <c r="G13" s="57"/>
      <c r="H13" s="111">
        <f>F13*E13*D13</f>
        <v>2.1</v>
      </c>
      <c r="I13" s="110"/>
    </row>
    <row r="14" spans="1:9" ht="21.6" x14ac:dyDescent="0.2">
      <c r="A14" s="59"/>
      <c r="B14" s="60" t="s">
        <v>207</v>
      </c>
      <c r="C14" s="114"/>
      <c r="D14" s="57">
        <v>0.15</v>
      </c>
      <c r="E14" s="57">
        <v>0.45</v>
      </c>
      <c r="F14" s="57">
        <v>25.4</v>
      </c>
      <c r="G14" s="57">
        <v>1</v>
      </c>
      <c r="H14" s="111">
        <f>G14*F14*E14*D14</f>
        <v>1.71</v>
      </c>
      <c r="I14" s="110">
        <f>SUM(H11:H14)</f>
        <v>4.7300000000000004</v>
      </c>
    </row>
    <row r="15" spans="1:9" ht="32.4" x14ac:dyDescent="0.2">
      <c r="A15" s="246" t="str">
        <f>'Planilha Orçamentária'!C11</f>
        <v>2.2</v>
      </c>
      <c r="B15" s="247" t="str">
        <f>'Planilha Orçamentária'!D11</f>
        <v>DEMOLIÇÃO DE PAVIMENTAÇÃO ASFÁLTICA COM UTILIZAÇÃO DE MARTELO PERFURADOR, ESPESSURA ATÉ 15 CM, EXCLUSIVE CARGA E TRANSPORTE</v>
      </c>
      <c r="C15" s="246" t="str">
        <f>'Planilha Orçamentária'!E11</f>
        <v>M²</v>
      </c>
      <c r="D15" s="53"/>
      <c r="E15" s="53"/>
      <c r="F15" s="53"/>
      <c r="G15" s="53" t="s">
        <v>64</v>
      </c>
      <c r="H15" s="58" t="s">
        <v>39</v>
      </c>
      <c r="I15" s="108"/>
    </row>
    <row r="16" spans="1:9" ht="21.6" x14ac:dyDescent="0.2">
      <c r="A16" s="59"/>
      <c r="B16" s="60" t="s">
        <v>118</v>
      </c>
      <c r="C16" s="116"/>
      <c r="D16" s="61"/>
      <c r="E16" s="61"/>
      <c r="F16" s="61"/>
      <c r="G16" s="61">
        <v>4.91</v>
      </c>
      <c r="H16" s="62">
        <f>G16</f>
        <v>4.91</v>
      </c>
      <c r="I16" s="109">
        <f>H16</f>
        <v>4.91</v>
      </c>
    </row>
    <row r="17" spans="1:9" ht="21.6" x14ac:dyDescent="0.2">
      <c r="A17" s="246" t="str">
        <f>'Planilha Orçamentária'!C12</f>
        <v>2.3</v>
      </c>
      <c r="B17" s="247" t="str">
        <f>'Planilha Orçamentária'!D12</f>
        <v>CARGA E DESCARGA MECANIZADAS DE ENTULHO EM CAMINHAO BASCULANTE 6 M3</v>
      </c>
      <c r="C17" s="246" t="str">
        <f>'Planilha Orçamentária'!E12</f>
        <v>M³</v>
      </c>
      <c r="D17" s="53"/>
      <c r="E17" s="53"/>
      <c r="F17" s="53" t="s">
        <v>64</v>
      </c>
      <c r="G17" s="53" t="s">
        <v>272</v>
      </c>
      <c r="H17" s="58" t="s">
        <v>39</v>
      </c>
      <c r="I17" s="108"/>
    </row>
    <row r="18" spans="1:9" x14ac:dyDescent="0.2">
      <c r="A18" s="59"/>
      <c r="B18" s="60" t="s">
        <v>271</v>
      </c>
      <c r="C18" s="116"/>
      <c r="D18" s="61"/>
      <c r="E18" s="61"/>
      <c r="F18" s="61"/>
      <c r="G18" s="61"/>
      <c r="H18" s="62">
        <f>I14</f>
        <v>4.7300000000000004</v>
      </c>
      <c r="I18" s="109"/>
    </row>
    <row r="19" spans="1:9" x14ac:dyDescent="0.2">
      <c r="A19" s="59"/>
      <c r="B19" s="60" t="s">
        <v>273</v>
      </c>
      <c r="C19" s="116"/>
      <c r="D19" s="61"/>
      <c r="E19" s="61"/>
      <c r="F19" s="61">
        <f>G16</f>
        <v>4.91</v>
      </c>
      <c r="G19" s="61">
        <v>0.15</v>
      </c>
      <c r="H19" s="62">
        <f>F19*G19</f>
        <v>0.74</v>
      </c>
      <c r="I19" s="110">
        <f>SUM(H18:H19)</f>
        <v>5.47</v>
      </c>
    </row>
    <row r="20" spans="1:9" ht="21.6" x14ac:dyDescent="0.2">
      <c r="A20" s="246" t="str">
        <f>'Planilha Orçamentária'!C13</f>
        <v>2.4</v>
      </c>
      <c r="B20" s="247" t="str">
        <f>'Planilha Orçamentária'!D13</f>
        <v>TRANSPORTE DE ENTULHO COM CAMINHAO BASCULANTE 6 M3, RODOVIA PAVIMENTADA, DMT 0,5 A 1,0 KM</v>
      </c>
      <c r="C20" s="246" t="str">
        <f>'Planilha Orçamentária'!E13</f>
        <v>M³</v>
      </c>
      <c r="D20" s="53"/>
      <c r="E20" s="53"/>
      <c r="F20" s="53"/>
      <c r="G20" s="53"/>
      <c r="H20" s="58" t="s">
        <v>39</v>
      </c>
      <c r="I20" s="108"/>
    </row>
    <row r="21" spans="1:9" x14ac:dyDescent="0.2">
      <c r="A21" s="59"/>
      <c r="B21" s="60" t="s">
        <v>250</v>
      </c>
      <c r="C21" s="116"/>
      <c r="D21" s="61"/>
      <c r="E21" s="61"/>
      <c r="F21" s="61"/>
      <c r="G21" s="61"/>
      <c r="H21" s="62">
        <f>H18</f>
        <v>4.7300000000000004</v>
      </c>
      <c r="I21" s="109">
        <f>H21</f>
        <v>4.7300000000000004</v>
      </c>
    </row>
    <row r="22" spans="1:9" x14ac:dyDescent="0.2">
      <c r="A22" s="47" t="s">
        <v>46</v>
      </c>
      <c r="B22" s="48" t="str">
        <f>'Planilha Orçamentária'!D15</f>
        <v>CANTEIRO DE OBRAS</v>
      </c>
      <c r="C22" s="49">
        <v>0</v>
      </c>
      <c r="D22" s="50"/>
      <c r="E22" s="50"/>
      <c r="F22" s="50"/>
      <c r="G22" s="50"/>
      <c r="H22" s="51"/>
      <c r="I22" s="107"/>
    </row>
    <row r="23" spans="1:9" ht="17.25" customHeight="1" x14ac:dyDescent="0.2">
      <c r="A23" s="246" t="str">
        <f>'Planilha Orçamentária'!C16</f>
        <v>3.1</v>
      </c>
      <c r="B23" s="247" t="str">
        <f>'Planilha Orçamentária'!D16</f>
        <v xml:space="preserve">PLACA DE OBRA EM CHAPA DE ACO GALVANIZADO </v>
      </c>
      <c r="C23" s="63" t="s">
        <v>86</v>
      </c>
      <c r="D23" s="53" t="s">
        <v>38</v>
      </c>
      <c r="E23" s="53" t="s">
        <v>37</v>
      </c>
      <c r="F23" s="53" t="s">
        <v>36</v>
      </c>
      <c r="G23" s="53" t="s">
        <v>64</v>
      </c>
      <c r="H23" s="58" t="s">
        <v>39</v>
      </c>
      <c r="I23" s="108"/>
    </row>
    <row r="24" spans="1:9" x14ac:dyDescent="0.2">
      <c r="A24" s="59"/>
      <c r="B24" s="60" t="s">
        <v>107</v>
      </c>
      <c r="C24" s="116"/>
      <c r="D24" s="61">
        <v>2.5</v>
      </c>
      <c r="E24" s="61">
        <v>4</v>
      </c>
      <c r="F24" s="61"/>
      <c r="G24" s="61"/>
      <c r="H24" s="62">
        <f>E24*D24</f>
        <v>10</v>
      </c>
      <c r="I24" s="109">
        <f>H24</f>
        <v>10</v>
      </c>
    </row>
    <row r="25" spans="1:9" ht="32.4" x14ac:dyDescent="0.2">
      <c r="A25" s="246" t="str">
        <f>'Planilha Orçamentária'!C17</f>
        <v>3.2</v>
      </c>
      <c r="B25" s="247" t="str">
        <f>'Planilha Orçamentária'!D17</f>
        <v>LOCACAO DE CONTAINER 2,30 X 6,00 M, ALT. 2,50 M, COM 1 SANITARIO, PARA ESCRITORIO, COMPLETO, SEM DIVISORIAS INTERNAS</v>
      </c>
      <c r="C25" s="63" t="s">
        <v>86</v>
      </c>
      <c r="D25" s="53"/>
      <c r="E25" s="53"/>
      <c r="F25" s="53"/>
      <c r="G25" s="53"/>
      <c r="H25" s="58" t="s">
        <v>39</v>
      </c>
      <c r="I25" s="108"/>
    </row>
    <row r="26" spans="1:9" x14ac:dyDescent="0.2">
      <c r="A26" s="59"/>
      <c r="B26" s="60" t="s">
        <v>249</v>
      </c>
      <c r="C26" s="116"/>
      <c r="D26" s="61"/>
      <c r="E26" s="61"/>
      <c r="F26" s="61"/>
      <c r="G26" s="61"/>
      <c r="H26" s="62">
        <v>4</v>
      </c>
      <c r="I26" s="109">
        <f>H26</f>
        <v>4</v>
      </c>
    </row>
    <row r="27" spans="1:9" ht="21.6" x14ac:dyDescent="0.2">
      <c r="A27" s="246" t="str">
        <f>'Planilha Orçamentária'!C18</f>
        <v>3.3</v>
      </c>
      <c r="B27" s="247" t="str">
        <f>'Planilha Orçamentária'!D18</f>
        <v>ENTRADA PROVISORIA DE ENERGIA ELETRICA AEREA TRIFASICA 40A EM POSTE MADEIRA</v>
      </c>
      <c r="C27" s="63" t="s">
        <v>86</v>
      </c>
      <c r="D27" s="53"/>
      <c r="E27" s="53"/>
      <c r="F27" s="53"/>
      <c r="G27" s="53"/>
      <c r="H27" s="58" t="s">
        <v>39</v>
      </c>
      <c r="I27" s="108"/>
    </row>
    <row r="28" spans="1:9" x14ac:dyDescent="0.2">
      <c r="A28" s="59"/>
      <c r="B28" s="60"/>
      <c r="C28" s="116"/>
      <c r="D28" s="61"/>
      <c r="E28" s="61"/>
      <c r="F28" s="61"/>
      <c r="G28" s="61"/>
      <c r="H28" s="62">
        <v>1</v>
      </c>
      <c r="I28" s="109">
        <f>H28</f>
        <v>1</v>
      </c>
    </row>
    <row r="29" spans="1:9" ht="32.4" x14ac:dyDescent="0.2">
      <c r="A29" s="246" t="str">
        <f>'Planilha Orçamentária'!C19</f>
        <v>3.4</v>
      </c>
      <c r="B29" s="247" t="str">
        <f>'Planilha Orçamentária'!D19</f>
        <v>KIT CAVALETE PARA MEDIÇÃO DE ÁGUA - ENTRADA PRINCIPAL, EM PVC SOLDÁVEL DN 20 (½") FORNECIMENTO E INSTALAÇÃO (EXCLUSIVE HIDRÔMETRO). AF_11/2016</v>
      </c>
      <c r="C29" s="63" t="s">
        <v>33</v>
      </c>
      <c r="D29" s="53"/>
      <c r="E29" s="53"/>
      <c r="F29" s="53"/>
      <c r="G29" s="53"/>
      <c r="H29" s="58" t="s">
        <v>39</v>
      </c>
      <c r="I29" s="108"/>
    </row>
    <row r="30" spans="1:9" x14ac:dyDescent="0.2">
      <c r="A30" s="59"/>
      <c r="B30" s="60"/>
      <c r="C30" s="116"/>
      <c r="D30" s="61"/>
      <c r="E30" s="61"/>
      <c r="F30" s="61"/>
      <c r="G30" s="61"/>
      <c r="H30" s="62">
        <v>1</v>
      </c>
      <c r="I30" s="109">
        <f>H30</f>
        <v>1</v>
      </c>
    </row>
    <row r="31" spans="1:9" ht="21.6" x14ac:dyDescent="0.2">
      <c r="A31" s="246" t="str">
        <f>'Planilha Orçamentária'!C20</f>
        <v>3.5</v>
      </c>
      <c r="B31" s="247" t="str">
        <f>'Planilha Orçamentária'!D20</f>
        <v>HIDRÔMETRO DN 20 (½), 1,5 M³/H FORNECIMENTO E INSTALAÇÃO. AF_11/2016</v>
      </c>
      <c r="C31" s="63" t="s">
        <v>86</v>
      </c>
      <c r="D31" s="53"/>
      <c r="E31" s="53"/>
      <c r="F31" s="53"/>
      <c r="G31" s="53"/>
      <c r="H31" s="58" t="s">
        <v>39</v>
      </c>
      <c r="I31" s="108"/>
    </row>
    <row r="32" spans="1:9" x14ac:dyDescent="0.2">
      <c r="A32" s="59"/>
      <c r="B32" s="60"/>
      <c r="C32" s="116"/>
      <c r="D32" s="61"/>
      <c r="E32" s="61"/>
      <c r="F32" s="61"/>
      <c r="G32" s="61"/>
      <c r="H32" s="62">
        <v>1</v>
      </c>
      <c r="I32" s="109">
        <f>H32</f>
        <v>1</v>
      </c>
    </row>
    <row r="33" spans="1:10" ht="34.200000000000003" customHeight="1" x14ac:dyDescent="0.2">
      <c r="A33" s="246" t="str">
        <f>'Planilha Orçamentária'!C21</f>
        <v>3.6</v>
      </c>
      <c r="B33" s="247" t="str">
        <f>'Planilha Orçamentária'!D21</f>
        <v>EXECUÇÃO DE CENTRAL DE ARMADURA EM CANTEIRO DE OBRA, NÃO INCLUSO MOBILIÁRIO E EQUIPAMENTOS. AF_04/2016</v>
      </c>
      <c r="C33" s="63" t="s">
        <v>86</v>
      </c>
      <c r="D33" s="53" t="s">
        <v>38</v>
      </c>
      <c r="E33" s="53" t="s">
        <v>37</v>
      </c>
      <c r="F33" s="53" t="s">
        <v>36</v>
      </c>
      <c r="G33" s="53" t="s">
        <v>64</v>
      </c>
      <c r="H33" s="58" t="s">
        <v>39</v>
      </c>
      <c r="I33" s="108"/>
    </row>
    <row r="34" spans="1:10" x14ac:dyDescent="0.2">
      <c r="A34" s="59"/>
      <c r="B34" s="60" t="s">
        <v>107</v>
      </c>
      <c r="C34" s="116"/>
      <c r="D34" s="61"/>
      <c r="E34" s="61">
        <v>2.2000000000000002</v>
      </c>
      <c r="F34" s="61">
        <v>6.2</v>
      </c>
      <c r="G34" s="61">
        <f>F34*E34</f>
        <v>13.64</v>
      </c>
      <c r="H34" s="62">
        <f>G34</f>
        <v>13.64</v>
      </c>
      <c r="I34" s="109">
        <f>H34</f>
        <v>13.64</v>
      </c>
    </row>
    <row r="35" spans="1:10" x14ac:dyDescent="0.2">
      <c r="A35" s="47" t="s">
        <v>53</v>
      </c>
      <c r="B35" s="48" t="str">
        <f>'Planilha Orçamentária'!D23</f>
        <v>ESTRUTURA DA PASSARELA</v>
      </c>
      <c r="C35" s="49">
        <v>0</v>
      </c>
      <c r="D35" s="135"/>
      <c r="E35" s="135"/>
      <c r="F35" s="135"/>
      <c r="G35" s="135"/>
      <c r="H35" s="137"/>
      <c r="I35" s="107"/>
    </row>
    <row r="36" spans="1:10" ht="25.8" customHeight="1" x14ac:dyDescent="0.2">
      <c r="A36" s="246" t="str">
        <f>'Planilha Orçamentária'!C24</f>
        <v>4.1</v>
      </c>
      <c r="B36" s="247" t="str">
        <f>'Planilha Orçamentária'!D24</f>
        <v>FORNECIMENTO E INSTALAÇÃO DE VIGA METÁLICA INCLUSIVE ANCORAGEM (ITEM 2 - SUPORTE 2)</v>
      </c>
      <c r="C36" s="246" t="str">
        <f>'Planilha Orçamentária'!E24</f>
        <v>UND</v>
      </c>
      <c r="D36" s="52"/>
      <c r="E36" s="53"/>
      <c r="F36" s="53"/>
      <c r="G36" s="53"/>
      <c r="H36" s="58" t="s">
        <v>39</v>
      </c>
      <c r="I36" s="108"/>
    </row>
    <row r="37" spans="1:10" x14ac:dyDescent="0.2">
      <c r="A37" s="59"/>
      <c r="B37" s="60" t="s">
        <v>252</v>
      </c>
      <c r="C37" s="116"/>
      <c r="D37" s="61"/>
      <c r="E37" s="61"/>
      <c r="F37" s="136"/>
      <c r="G37" s="61"/>
      <c r="H37" s="138">
        <v>4</v>
      </c>
      <c r="I37" s="110">
        <f>H37</f>
        <v>4</v>
      </c>
      <c r="J37" s="45">
        <f t="shared" ref="J37" si="0">E37*D37</f>
        <v>0</v>
      </c>
    </row>
    <row r="38" spans="1:10" ht="26.4" customHeight="1" x14ac:dyDescent="0.2">
      <c r="A38" s="246" t="str">
        <f>'Planilha Orçamentária'!C25</f>
        <v>4.2</v>
      </c>
      <c r="B38" s="247" t="str">
        <f>'Planilha Orçamentária'!D25</f>
        <v>FORNECIMENTO E INSTALAÇÃO DE VIGA METÁLICA INCLUSIVE ANCORAGEM (ITEM 3 - SUPORTE 3)</v>
      </c>
      <c r="C38" s="246" t="str">
        <f>'Planilha Orçamentária'!E25</f>
        <v>UND</v>
      </c>
      <c r="D38" s="52"/>
      <c r="E38" s="53"/>
      <c r="F38" s="53"/>
      <c r="G38" s="53"/>
      <c r="H38" s="58" t="s">
        <v>39</v>
      </c>
      <c r="I38" s="108"/>
    </row>
    <row r="39" spans="1:10" x14ac:dyDescent="0.2">
      <c r="A39" s="59"/>
      <c r="B39" s="60" t="s">
        <v>251</v>
      </c>
      <c r="C39" s="116"/>
      <c r="D39" s="136"/>
      <c r="E39" s="136"/>
      <c r="F39" s="136"/>
      <c r="G39" s="136"/>
      <c r="H39" s="138">
        <v>9</v>
      </c>
      <c r="I39" s="110">
        <f>H39</f>
        <v>9</v>
      </c>
      <c r="J39" s="45">
        <f>E39*D39</f>
        <v>0</v>
      </c>
    </row>
    <row r="40" spans="1:10" ht="27.6" customHeight="1" x14ac:dyDescent="0.2">
      <c r="A40" s="246" t="str">
        <f>'Planilha Orçamentária'!C26</f>
        <v>4.3</v>
      </c>
      <c r="B40" s="247" t="str">
        <f>'Planilha Orçamentária'!D26</f>
        <v>FORNECIMENTO E INSTALAÇÃO DE PLATAFORMA METÁLICA (ITEM 4 - PLATAFORMA)</v>
      </c>
      <c r="C40" s="246" t="str">
        <f>'Planilha Orçamentária'!E26</f>
        <v>UND</v>
      </c>
      <c r="D40" s="53"/>
      <c r="E40" s="103"/>
      <c r="F40" s="103"/>
      <c r="G40" s="53"/>
      <c r="H40" s="58" t="s">
        <v>39</v>
      </c>
      <c r="I40" s="108"/>
    </row>
    <row r="41" spans="1:10" x14ac:dyDescent="0.2">
      <c r="A41" s="59"/>
      <c r="B41" s="60" t="s">
        <v>253</v>
      </c>
      <c r="C41" s="116"/>
      <c r="D41" s="61"/>
      <c r="E41" s="61"/>
      <c r="F41" s="65"/>
      <c r="G41" s="61"/>
      <c r="H41" s="104">
        <v>35.65</v>
      </c>
      <c r="I41" s="109">
        <f>H41</f>
        <v>35.65</v>
      </c>
    </row>
    <row r="42" spans="1:10" ht="48" customHeight="1" x14ac:dyDescent="0.2">
      <c r="A42" s="246" t="str">
        <f>'Planilha Orçamentária'!C27</f>
        <v>4.4</v>
      </c>
      <c r="B42" s="247" t="str">
        <f>'Planilha Orçamentária'!D27</f>
        <v>GUINDAUTO HIDRÁULICO, CAPACIDADE MÁXIMA DE CARGA 3300 KG, MOMENTO MÁXIMO DE CARGA 5,8 TM, ALCANCE MÁXIMO HORIZONTAL 7,60 M, INCLUSIVE CAMINHÃO TOCO PBT 16.000 KG, POTÊNCIA DE 189 CV - CHP DIURNO. AF_03/2016</v>
      </c>
      <c r="C42" s="246" t="str">
        <f>'Planilha Orçamentária'!E27</f>
        <v>CHP</v>
      </c>
      <c r="D42" s="53"/>
      <c r="E42" s="103"/>
      <c r="F42" s="103" t="s">
        <v>171</v>
      </c>
      <c r="G42" s="53" t="s">
        <v>172</v>
      </c>
      <c r="H42" s="58" t="s">
        <v>39</v>
      </c>
      <c r="I42" s="108"/>
    </row>
    <row r="43" spans="1:10" x14ac:dyDescent="0.2">
      <c r="A43" s="59"/>
      <c r="B43" s="60" t="s">
        <v>170</v>
      </c>
      <c r="C43" s="116"/>
      <c r="D43" s="61"/>
      <c r="E43" s="61"/>
      <c r="F43" s="61">
        <v>3</v>
      </c>
      <c r="G43" s="61">
        <v>8</v>
      </c>
      <c r="H43" s="104">
        <f>G43*F43</f>
        <v>24</v>
      </c>
      <c r="I43" s="109">
        <f>H43</f>
        <v>24</v>
      </c>
    </row>
    <row r="44" spans="1:10" x14ac:dyDescent="0.2">
      <c r="A44" s="47" t="s">
        <v>56</v>
      </c>
      <c r="B44" s="48" t="str">
        <f>'Planilha Orçamentária'!D29</f>
        <v>COBERTURA DA PASSARELA</v>
      </c>
      <c r="C44" s="49">
        <v>0</v>
      </c>
      <c r="D44" s="50"/>
      <c r="E44" s="50"/>
      <c r="F44" s="50"/>
      <c r="G44" s="50"/>
      <c r="H44" s="51"/>
      <c r="I44" s="107"/>
    </row>
    <row r="45" spans="1:10" ht="26.4" customHeight="1" x14ac:dyDescent="0.2">
      <c r="A45" s="246" t="str">
        <f>'Planilha Orçamentária'!C30</f>
        <v>5.1</v>
      </c>
      <c r="B45" s="247" t="str">
        <f>'Planilha Orçamentária'!D30</f>
        <v>FORNECIMENTO E INSTALAÇÃO DE PILAR METÁLICO INCLUSIVE ANCORAGEM (ITEM 1 - SUPORTE 1)</v>
      </c>
      <c r="C45" s="246" t="str">
        <f>'Planilha Orçamentária'!E30</f>
        <v>UND</v>
      </c>
      <c r="D45" s="53"/>
      <c r="E45" s="53"/>
      <c r="F45" s="53"/>
      <c r="G45" s="53"/>
      <c r="H45" s="58" t="s">
        <v>39</v>
      </c>
      <c r="I45" s="108"/>
    </row>
    <row r="46" spans="1:10" ht="17.25" customHeight="1" x14ac:dyDescent="0.2">
      <c r="A46" s="59"/>
      <c r="B46" s="60" t="s">
        <v>254</v>
      </c>
      <c r="C46" s="116"/>
      <c r="D46" s="65"/>
      <c r="E46" s="61"/>
      <c r="F46" s="61"/>
      <c r="G46" s="61"/>
      <c r="H46" s="62">
        <v>7</v>
      </c>
      <c r="I46" s="109">
        <f>H46</f>
        <v>7</v>
      </c>
    </row>
    <row r="47" spans="1:10" ht="30" customHeight="1" x14ac:dyDescent="0.2">
      <c r="A47" s="246" t="str">
        <f>'Planilha Orçamentária'!C31</f>
        <v>5.2</v>
      </c>
      <c r="B47" s="247" t="str">
        <f>'Planilha Orçamentária'!D31</f>
        <v>FORNECIMENTO E INSTALAÇÃO DE TERÇAS PARA COBERTURA (ITEM 7 - TERÇA)</v>
      </c>
      <c r="C47" s="246" t="str">
        <f>'Planilha Orçamentária'!E31</f>
        <v>UND</v>
      </c>
      <c r="D47" s="53"/>
      <c r="E47" s="53"/>
      <c r="F47" s="53"/>
      <c r="G47" s="53"/>
      <c r="H47" s="58" t="s">
        <v>39</v>
      </c>
      <c r="I47" s="108"/>
    </row>
    <row r="48" spans="1:10" ht="16.5" customHeight="1" x14ac:dyDescent="0.2">
      <c r="A48" s="59"/>
      <c r="B48" s="60" t="s">
        <v>255</v>
      </c>
      <c r="C48" s="116"/>
      <c r="D48" s="65"/>
      <c r="E48" s="61"/>
      <c r="F48" s="61"/>
      <c r="G48" s="61"/>
      <c r="H48" s="62">
        <v>7</v>
      </c>
      <c r="I48" s="109">
        <f>H48</f>
        <v>7</v>
      </c>
    </row>
    <row r="49" spans="1:9" ht="49.2" customHeight="1" x14ac:dyDescent="0.2">
      <c r="A49" s="246" t="str">
        <f>'Planilha Orçamentária'!C32</f>
        <v>5.3</v>
      </c>
      <c r="B49" s="247" t="str">
        <f>'Planilha Orçamentária'!D32</f>
        <v>TRAMA DE AÇO COMPOSTA POR TERÇAS PARA TELHADOS DE ATÉ 2 ÁGUAS PARA TELHA ONDULADA DE FIBROCIMENTO, METÁLICA, PLÁSTICA OU TERMOACÚSTICA, INCLUSO TRANSPORTE VERTICAL. AF_12/2015.</v>
      </c>
      <c r="C49" s="246" t="str">
        <f>'Planilha Orçamentária'!E32</f>
        <v>M²</v>
      </c>
      <c r="D49" s="53"/>
      <c r="E49" s="103"/>
      <c r="F49" s="103"/>
      <c r="G49" s="53"/>
      <c r="H49" s="58" t="s">
        <v>39</v>
      </c>
      <c r="I49" s="108"/>
    </row>
    <row r="50" spans="1:9" ht="15.75" customHeight="1" x14ac:dyDescent="0.2">
      <c r="A50" s="59"/>
      <c r="B50" s="251" t="s">
        <v>147</v>
      </c>
      <c r="C50" s="116"/>
      <c r="D50" s="61"/>
      <c r="E50" s="61"/>
      <c r="F50" s="65"/>
      <c r="G50" s="61"/>
      <c r="H50" s="104">
        <v>63.55</v>
      </c>
      <c r="I50" s="109">
        <f>H50</f>
        <v>63.55</v>
      </c>
    </row>
    <row r="51" spans="1:9" ht="26.4" customHeight="1" x14ac:dyDescent="0.2">
      <c r="A51" s="246" t="str">
        <f>'Planilha Orçamentária'!C33</f>
        <v>5.4</v>
      </c>
      <c r="B51" s="247" t="str">
        <f>'Planilha Orçamentária'!D33</f>
        <v>TELHAMENTO COM TELHA METÁLICA TERMOACÚSTICA E = 30 MM, COM ATÉ 2 ÁGUAS, INCLUSO IÇAMENTO. AF_06/2016</v>
      </c>
      <c r="C51" s="246" t="str">
        <f>'Planilha Orçamentária'!E33</f>
        <v>M²</v>
      </c>
      <c r="D51" s="53"/>
      <c r="E51" s="103"/>
      <c r="F51" s="103"/>
      <c r="G51" s="53"/>
      <c r="H51" s="58" t="s">
        <v>39</v>
      </c>
      <c r="I51" s="108"/>
    </row>
    <row r="52" spans="1:9" ht="21" customHeight="1" x14ac:dyDescent="0.2">
      <c r="A52" s="59"/>
      <c r="B52" s="251" t="s">
        <v>147</v>
      </c>
      <c r="C52" s="116"/>
      <c r="D52" s="61"/>
      <c r="E52" s="61"/>
      <c r="F52" s="65"/>
      <c r="G52" s="61"/>
      <c r="H52" s="104">
        <v>63.55</v>
      </c>
      <c r="I52" s="109">
        <f>H52</f>
        <v>63.55</v>
      </c>
    </row>
    <row r="53" spans="1:9" ht="36.6" customHeight="1" x14ac:dyDescent="0.2">
      <c r="A53" s="246" t="str">
        <f>'Planilha Orçamentária'!C34</f>
        <v>5.5</v>
      </c>
      <c r="B53" s="247" t="str">
        <f>'Planilha Orçamentária'!D34</f>
        <v>CALHA EM CHAPA DE AÇO GALVANIZADO NÚMERO 24, DESENVOLVIMENTO DE 33 CM, INCLUSO TRANSPORTE VERTICAL. AF_06/2016</v>
      </c>
      <c r="C53" s="246" t="str">
        <f>'Planilha Orçamentária'!E34</f>
        <v>M</v>
      </c>
      <c r="D53" s="53"/>
      <c r="E53" s="103"/>
      <c r="F53" s="103"/>
      <c r="G53" s="53"/>
      <c r="H53" s="58" t="s">
        <v>39</v>
      </c>
      <c r="I53" s="108"/>
    </row>
    <row r="54" spans="1:9" x14ac:dyDescent="0.2">
      <c r="A54" s="59"/>
      <c r="B54" s="251" t="s">
        <v>177</v>
      </c>
      <c r="C54" s="116"/>
      <c r="D54" s="61"/>
      <c r="E54" s="61"/>
      <c r="F54" s="65"/>
      <c r="G54" s="61"/>
      <c r="H54" s="104">
        <f>1.33+0.55</f>
        <v>1.88</v>
      </c>
      <c r="I54" s="109">
        <f>H54</f>
        <v>1.88</v>
      </c>
    </row>
    <row r="55" spans="1:9" ht="27.6" customHeight="1" x14ac:dyDescent="0.2">
      <c r="A55" s="246" t="str">
        <f>'Planilha Orçamentária'!C35</f>
        <v>5.6</v>
      </c>
      <c r="B55" s="247" t="str">
        <f>'Planilha Orçamentária'!D35</f>
        <v>IMPERMEABILIZACAO DE SUPERFICIE COM ASFALTO ELASTOMERICO, INCLUSOS PRIMER E VEU DE FIBRA DE VIDRO.</v>
      </c>
      <c r="C55" s="246" t="str">
        <f>'Planilha Orçamentária'!E35</f>
        <v>M²</v>
      </c>
      <c r="D55" s="53"/>
      <c r="E55" s="103" t="s">
        <v>36</v>
      </c>
      <c r="F55" s="103" t="s">
        <v>37</v>
      </c>
      <c r="G55" s="53" t="s">
        <v>157</v>
      </c>
      <c r="H55" s="58" t="s">
        <v>39</v>
      </c>
      <c r="I55" s="108"/>
    </row>
    <row r="56" spans="1:9" x14ac:dyDescent="0.2">
      <c r="A56" s="59"/>
      <c r="B56" s="60" t="s">
        <v>177</v>
      </c>
      <c r="C56" s="116"/>
      <c r="D56" s="61"/>
      <c r="E56" s="249">
        <v>0.43</v>
      </c>
      <c r="F56" s="252">
        <v>0.33</v>
      </c>
      <c r="G56" s="249">
        <v>14</v>
      </c>
      <c r="H56" s="250">
        <f>G56*F56*E56</f>
        <v>1.99</v>
      </c>
      <c r="I56" s="109">
        <f>H56</f>
        <v>1.99</v>
      </c>
    </row>
    <row r="57" spans="1:9" x14ac:dyDescent="0.2">
      <c r="A57" s="47" t="s">
        <v>40</v>
      </c>
      <c r="B57" s="48" t="str">
        <f>'Planilha Orçamentária'!D37</f>
        <v>INTALAÇÕES ELÉTRICAS</v>
      </c>
      <c r="C57" s="49">
        <v>0</v>
      </c>
      <c r="D57" s="50"/>
      <c r="E57" s="50"/>
      <c r="F57" s="50"/>
      <c r="G57" s="50"/>
      <c r="H57" s="51"/>
      <c r="I57" s="107"/>
    </row>
    <row r="58" spans="1:9" ht="43.2" x14ac:dyDescent="0.2">
      <c r="A58" s="246" t="str">
        <f>'Planilha Orçamentária'!C38</f>
        <v>6.1</v>
      </c>
      <c r="B58" s="102" t="str">
        <f>'Planilha Orçamentária'!D38</f>
        <v>QUADRO DE DISTRIBUICAO DE ENERGIA DE EMBUTIR, EM CHAPA METALICA, PARA 3 DISJUNTORES TERMOMAGNETICOS MONOPOLARES SEM BARRAMENTO FORNECIMENTO E INSTALACAO</v>
      </c>
      <c r="C58" s="63" t="s">
        <v>33</v>
      </c>
      <c r="D58" s="53"/>
      <c r="E58" s="53"/>
      <c r="F58" s="53"/>
      <c r="G58" s="53"/>
      <c r="H58" s="58" t="s">
        <v>39</v>
      </c>
      <c r="I58" s="108"/>
    </row>
    <row r="59" spans="1:9" x14ac:dyDescent="0.2">
      <c r="A59" s="59"/>
      <c r="B59" s="60" t="s">
        <v>114</v>
      </c>
      <c r="C59" s="116"/>
      <c r="D59" s="61"/>
      <c r="E59" s="61"/>
      <c r="F59" s="61"/>
      <c r="G59" s="61"/>
      <c r="H59" s="62">
        <v>1</v>
      </c>
      <c r="I59" s="109">
        <f>H59</f>
        <v>1</v>
      </c>
    </row>
    <row r="60" spans="1:9" ht="21.6" x14ac:dyDescent="0.2">
      <c r="A60" s="246" t="str">
        <f>'Planilha Orçamentária'!C39</f>
        <v>6.2</v>
      </c>
      <c r="B60" s="102" t="str">
        <f>'Planilha Orçamentária'!D39</f>
        <v>DISJUNTOR MONOPOLAR TIPO DIN, CORRENTE NOMINAL DE 10A - FORNECIMENTO E INSTALAÇÃO</v>
      </c>
      <c r="C60" s="63" t="s">
        <v>33</v>
      </c>
      <c r="D60" s="53"/>
      <c r="E60" s="53"/>
      <c r="F60" s="53"/>
      <c r="G60" s="53"/>
      <c r="H60" s="58" t="s">
        <v>39</v>
      </c>
      <c r="I60" s="108"/>
    </row>
    <row r="61" spans="1:9" x14ac:dyDescent="0.2">
      <c r="A61" s="59"/>
      <c r="B61" s="60" t="s">
        <v>114</v>
      </c>
      <c r="C61" s="116"/>
      <c r="D61" s="61"/>
      <c r="E61" s="61"/>
      <c r="F61" s="61"/>
      <c r="G61" s="61"/>
      <c r="H61" s="62">
        <v>1</v>
      </c>
      <c r="I61" s="109">
        <f>H61</f>
        <v>1</v>
      </c>
    </row>
    <row r="62" spans="1:9" ht="21.6" x14ac:dyDescent="0.2">
      <c r="A62" s="246" t="str">
        <f>'Planilha Orçamentária'!C40</f>
        <v>6.3</v>
      </c>
      <c r="B62" s="102" t="str">
        <f>'Planilha Orçamentária'!D40</f>
        <v>RELE FOTOELETRICO P/ COMANDO DE ILUMINACAO EXTERNA 220V/1000W - FORNECIMENTO E INSTALACAO</v>
      </c>
      <c r="C62" s="63" t="s">
        <v>33</v>
      </c>
      <c r="D62" s="53"/>
      <c r="E62" s="53"/>
      <c r="F62" s="53"/>
      <c r="G62" s="53"/>
      <c r="H62" s="58" t="s">
        <v>39</v>
      </c>
      <c r="I62" s="108"/>
    </row>
    <row r="63" spans="1:9" x14ac:dyDescent="0.2">
      <c r="A63" s="59"/>
      <c r="B63" s="60" t="s">
        <v>114</v>
      </c>
      <c r="C63" s="116"/>
      <c r="D63" s="61"/>
      <c r="E63" s="61"/>
      <c r="F63" s="61"/>
      <c r="G63" s="61"/>
      <c r="H63" s="62">
        <v>1</v>
      </c>
      <c r="I63" s="109">
        <f>H63</f>
        <v>1</v>
      </c>
    </row>
    <row r="64" spans="1:9" ht="21.6" x14ac:dyDescent="0.2">
      <c r="A64" s="246" t="str">
        <f>'Planilha Orçamentária'!C41</f>
        <v>6.4</v>
      </c>
      <c r="B64" s="102" t="str">
        <f>'Planilha Orçamentária'!D41</f>
        <v>LUMINÁRIA ARANDELA TIPO TARTARUGA PARA 1 LÂMPADA LED - FORNECIMENTO E INSTALAÇÃO. AF_11/2017</v>
      </c>
      <c r="C64" s="63" t="s">
        <v>33</v>
      </c>
      <c r="D64" s="53"/>
      <c r="E64" s="53"/>
      <c r="F64" s="53"/>
      <c r="G64" s="53"/>
      <c r="H64" s="58" t="s">
        <v>39</v>
      </c>
      <c r="I64" s="108"/>
    </row>
    <row r="65" spans="1:14" x14ac:dyDescent="0.2">
      <c r="A65" s="59"/>
      <c r="B65" s="60" t="s">
        <v>114</v>
      </c>
      <c r="C65" s="116"/>
      <c r="D65" s="61"/>
      <c r="E65" s="61"/>
      <c r="F65" s="61"/>
      <c r="G65" s="61"/>
      <c r="H65" s="62">
        <v>7</v>
      </c>
      <c r="I65" s="109">
        <f>H65</f>
        <v>7</v>
      </c>
    </row>
    <row r="66" spans="1:14" x14ac:dyDescent="0.2">
      <c r="A66" s="246" t="str">
        <f>'Planilha Orçamentária'!C42</f>
        <v>6.5</v>
      </c>
      <c r="B66" s="102" t="str">
        <f>'Planilha Orçamentária'!D42</f>
        <v xml:space="preserve">CAIXA DE PASSAGEM 30X30X40 COM TAMPA E DRENO BRITA </v>
      </c>
      <c r="C66" s="63" t="s">
        <v>33</v>
      </c>
      <c r="D66" s="53"/>
      <c r="E66" s="53"/>
      <c r="F66" s="53"/>
      <c r="G66" s="53"/>
      <c r="H66" s="58" t="s">
        <v>39</v>
      </c>
      <c r="I66" s="108"/>
    </row>
    <row r="67" spans="1:14" x14ac:dyDescent="0.2">
      <c r="A67" s="59"/>
      <c r="B67" s="60" t="s">
        <v>114</v>
      </c>
      <c r="C67" s="116"/>
      <c r="D67" s="61"/>
      <c r="E67" s="61"/>
      <c r="F67" s="61"/>
      <c r="G67" s="61"/>
      <c r="H67" s="62">
        <v>1</v>
      </c>
      <c r="I67" s="109">
        <f>H67</f>
        <v>1</v>
      </c>
    </row>
    <row r="68" spans="1:14" ht="32.4" x14ac:dyDescent="0.2">
      <c r="A68" s="246" t="str">
        <f>'Planilha Orçamentária'!C43</f>
        <v>6.6</v>
      </c>
      <c r="B68" s="102" t="str">
        <f>'Planilha Orçamentária'!D43</f>
        <v>DUTO ESPIRAL FLEXIVEL SINGELO PEAD D=50MM(2") REVESTIDO COM PVC COM FIO GUIA DE ACO GALVANIZADO, LANCADO DIRETO NO SOLO, INCL CONEXOES</v>
      </c>
      <c r="C68" s="63" t="s">
        <v>87</v>
      </c>
      <c r="D68" s="53"/>
      <c r="E68" s="53"/>
      <c r="F68" s="53"/>
      <c r="G68" s="53"/>
      <c r="H68" s="58" t="s">
        <v>39</v>
      </c>
      <c r="I68" s="108"/>
      <c r="J68" s="64"/>
      <c r="K68" s="64"/>
      <c r="L68" s="64"/>
      <c r="M68" s="64"/>
      <c r="N68" s="64"/>
    </row>
    <row r="69" spans="1:14" x14ac:dyDescent="0.2">
      <c r="A69" s="59"/>
      <c r="B69" s="60" t="s">
        <v>114</v>
      </c>
      <c r="C69" s="116"/>
      <c r="D69" s="61"/>
      <c r="E69" s="61"/>
      <c r="F69" s="61"/>
      <c r="G69" s="61"/>
      <c r="H69" s="62">
        <v>4</v>
      </c>
      <c r="I69" s="109">
        <f>H69</f>
        <v>4</v>
      </c>
      <c r="J69" s="64"/>
      <c r="K69" s="64"/>
      <c r="L69" s="64"/>
      <c r="M69" s="64"/>
      <c r="N69" s="64"/>
    </row>
    <row r="70" spans="1:14" ht="32.4" x14ac:dyDescent="0.2">
      <c r="A70" s="246" t="str">
        <f>'Planilha Orçamentária'!C44</f>
        <v>6.7</v>
      </c>
      <c r="B70" s="102" t="str">
        <f>'Planilha Orçamentária'!D44</f>
        <v>ELETRODUTO DE AÇO GALVANIZADO, CLASSE LEVE, DN 20 MM (3/4), APARENTE , INSTALADO EM TETO - FORNECIMENTO E INSTALAÇÃO. AF_11/2016_P</v>
      </c>
      <c r="C70" s="63" t="s">
        <v>87</v>
      </c>
      <c r="D70" s="53"/>
      <c r="E70" s="53"/>
      <c r="F70" s="53"/>
      <c r="G70" s="53"/>
      <c r="H70" s="58" t="s">
        <v>39</v>
      </c>
      <c r="I70" s="108"/>
    </row>
    <row r="71" spans="1:14" ht="21" x14ac:dyDescent="0.2">
      <c r="A71" s="59"/>
      <c r="B71" s="60" t="s">
        <v>339</v>
      </c>
      <c r="C71" s="116"/>
      <c r="D71" s="61"/>
      <c r="E71" s="61"/>
      <c r="F71" s="61"/>
      <c r="G71" s="61"/>
      <c r="H71" s="62">
        <v>3</v>
      </c>
      <c r="I71" s="109">
        <f>H71</f>
        <v>3</v>
      </c>
    </row>
    <row r="72" spans="1:14" ht="32.4" x14ac:dyDescent="0.2">
      <c r="A72" s="246" t="str">
        <f>'Planilha Orçamentária'!C45</f>
        <v>6.8</v>
      </c>
      <c r="B72" s="102" t="str">
        <f>'Planilha Orçamentária'!D45</f>
        <v>CABO DE COBRE FLEXÍVEL ISOLADO, 2,5 MM², ANTI-CHAMA 450/750 V, PARA CIRCUITOS TERMINAIS - FORNECIMENTO E INSTALAÇÃO.</v>
      </c>
      <c r="C72" s="63" t="s">
        <v>87</v>
      </c>
      <c r="D72" s="53"/>
      <c r="E72" s="53"/>
      <c r="F72" s="53"/>
      <c r="G72" s="53"/>
      <c r="H72" s="58" t="s">
        <v>39</v>
      </c>
      <c r="I72" s="108"/>
    </row>
    <row r="73" spans="1:14" x14ac:dyDescent="0.2">
      <c r="A73" s="59"/>
      <c r="B73" s="60" t="s">
        <v>114</v>
      </c>
      <c r="C73" s="116"/>
      <c r="D73" s="61"/>
      <c r="E73" s="61"/>
      <c r="F73" s="61"/>
      <c r="G73" s="61"/>
      <c r="H73" s="62">
        <v>94.3</v>
      </c>
      <c r="I73" s="109">
        <f>H73</f>
        <v>94.3</v>
      </c>
    </row>
    <row r="74" spans="1:14" ht="21.6" x14ac:dyDescent="0.2">
      <c r="A74" s="246" t="str">
        <f>'Planilha Orçamentária'!C46</f>
        <v>6.9</v>
      </c>
      <c r="B74" s="102" t="str">
        <f>'Planilha Orçamentária'!D46</f>
        <v>HASTE DE ATERRAMENTO 5/8 PARA SPDA - FORNECIMENTO E INSTALAÇÃO.</v>
      </c>
      <c r="C74" s="63" t="s">
        <v>19</v>
      </c>
      <c r="D74" s="53"/>
      <c r="E74" s="53"/>
      <c r="F74" s="53"/>
      <c r="G74" s="53"/>
      <c r="H74" s="58" t="s">
        <v>39</v>
      </c>
      <c r="I74" s="108"/>
      <c r="J74" s="64"/>
      <c r="K74" s="64"/>
      <c r="L74" s="64"/>
      <c r="M74" s="64"/>
      <c r="N74" s="64"/>
    </row>
    <row r="75" spans="1:14" x14ac:dyDescent="0.2">
      <c r="A75" s="59"/>
      <c r="B75" s="60" t="s">
        <v>114</v>
      </c>
      <c r="C75" s="116"/>
      <c r="D75" s="61"/>
      <c r="E75" s="61"/>
      <c r="F75" s="61"/>
      <c r="G75" s="61"/>
      <c r="H75" s="62">
        <v>1</v>
      </c>
      <c r="I75" s="109">
        <f>H75</f>
        <v>1</v>
      </c>
      <c r="J75" s="64"/>
      <c r="K75" s="64"/>
      <c r="L75" s="64"/>
      <c r="M75" s="64"/>
      <c r="N75" s="64"/>
    </row>
    <row r="76" spans="1:14" x14ac:dyDescent="0.2">
      <c r="A76" s="47" t="s">
        <v>105</v>
      </c>
      <c r="B76" s="48" t="str">
        <f>'Planilha Orçamentária'!D49</f>
        <v>SERVIÇOS COMPLEMENTARES</v>
      </c>
      <c r="C76" s="49">
        <v>0</v>
      </c>
      <c r="D76" s="50"/>
      <c r="E76" s="50"/>
      <c r="F76" s="50"/>
      <c r="G76" s="50"/>
      <c r="H76" s="51"/>
      <c r="I76" s="107"/>
    </row>
    <row r="77" spans="1:14" ht="32.4" x14ac:dyDescent="0.2">
      <c r="A77" s="246" t="str">
        <f>'Planilha Orçamentária'!C50</f>
        <v>7.1</v>
      </c>
      <c r="B77" s="247" t="str">
        <f>'Planilha Orçamentária'!D50</f>
        <v>EXECUÇÃO DE PASSEIO (CALÇADA) OU PISO DE CONCRETO COM CONCRETO MOLDADOIN LOCO, FEITO EM OBRA, ACABAMENTO CONVENCIONAL, NÃO ARMADO. AF_07/2016</v>
      </c>
      <c r="C77" s="246" t="str">
        <f>'Planilha Orçamentária'!E50</f>
        <v>M³</v>
      </c>
      <c r="D77" s="53" t="s">
        <v>38</v>
      </c>
      <c r="E77" s="53"/>
      <c r="F77" s="53"/>
      <c r="G77" s="53" t="s">
        <v>64</v>
      </c>
      <c r="H77" s="58" t="s">
        <v>39</v>
      </c>
      <c r="I77" s="108"/>
    </row>
    <row r="78" spans="1:14" ht="21.6" x14ac:dyDescent="0.2">
      <c r="A78" s="59"/>
      <c r="B78" s="60" t="s">
        <v>115</v>
      </c>
      <c r="C78" s="116"/>
      <c r="D78" s="61">
        <v>0.06</v>
      </c>
      <c r="E78" s="61"/>
      <c r="F78" s="61"/>
      <c r="G78" s="61">
        <v>8.2899999999999991</v>
      </c>
      <c r="H78" s="62">
        <f>G78*D78</f>
        <v>0.5</v>
      </c>
      <c r="I78" s="109"/>
    </row>
    <row r="79" spans="1:14" ht="21.6" x14ac:dyDescent="0.2">
      <c r="A79" s="59"/>
      <c r="B79" s="60" t="s">
        <v>115</v>
      </c>
      <c r="C79" s="116"/>
      <c r="D79" s="61">
        <v>0.06</v>
      </c>
      <c r="E79" s="61"/>
      <c r="F79" s="61"/>
      <c r="G79" s="61">
        <v>2.0699999999999998</v>
      </c>
      <c r="H79" s="62">
        <f>G79*D79</f>
        <v>0.12</v>
      </c>
      <c r="I79" s="110">
        <f>SUM(H78:H79)</f>
        <v>0.62</v>
      </c>
    </row>
    <row r="80" spans="1:14" ht="32.4" x14ac:dyDescent="0.2">
      <c r="A80" s="246" t="str">
        <f>'Planilha Orçamentária'!C51</f>
        <v>7.2</v>
      </c>
      <c r="B80" s="247" t="str">
        <f>'Planilha Orçamentária'!D51</f>
        <v>PISO CIMENTADO, TRAÇO 1:3 (CIMENTO E AREIA), ACABAMENTO LISO, ESPESSURA 2,0 CM, PREPARO MECÂNICO DA ARGAMASSA. AF_06/2018</v>
      </c>
      <c r="C80" s="246" t="str">
        <f>'Planilha Orçamentária'!E51</f>
        <v>M²</v>
      </c>
      <c r="D80" s="53"/>
      <c r="E80" s="53" t="s">
        <v>37</v>
      </c>
      <c r="F80" s="53" t="s">
        <v>117</v>
      </c>
      <c r="G80" s="53"/>
      <c r="H80" s="58" t="s">
        <v>39</v>
      </c>
      <c r="I80" s="108"/>
    </row>
    <row r="81" spans="1:14" ht="21.6" x14ac:dyDescent="0.2">
      <c r="A81" s="59"/>
      <c r="B81" s="60" t="s">
        <v>116</v>
      </c>
      <c r="C81" s="116"/>
      <c r="D81" s="61"/>
      <c r="E81" s="61">
        <v>0.45</v>
      </c>
      <c r="F81" s="61">
        <v>27</v>
      </c>
      <c r="G81" s="61"/>
      <c r="H81" s="62">
        <f>F81*E81</f>
        <v>12.15</v>
      </c>
      <c r="I81" s="109">
        <f>H81</f>
        <v>12.15</v>
      </c>
    </row>
    <row r="82" spans="1:14" ht="54" x14ac:dyDescent="0.2">
      <c r="A82" s="246" t="str">
        <f>'Planilha Orçamentária'!C52</f>
        <v>7.3</v>
      </c>
      <c r="B82" s="247" t="str">
        <f>'Planilha Orçamentária'!D52</f>
        <v>ASSENTAMENTO DE GUIA (MEIO-FIO) EM TRECHO CURVO, CONFECCIONADA EM CONCRETO PRÉ-FABRICADO, DIMENSÕES 100X15X13X30 CM (COMPRIMENTO X BASE INFERIOR X BASE SUPERIOR X ALTURA), PARA VIAS URBANAS (USO VIÁRIO). AF_06/2016</v>
      </c>
      <c r="C82" s="246" t="str">
        <f>'Planilha Orçamentária'!E52</f>
        <v>M</v>
      </c>
      <c r="D82" s="53"/>
      <c r="E82" s="53"/>
      <c r="F82" s="53"/>
      <c r="G82" s="53"/>
      <c r="H82" s="58" t="s">
        <v>39</v>
      </c>
      <c r="I82" s="108"/>
    </row>
    <row r="83" spans="1:14" ht="21.6" x14ac:dyDescent="0.2">
      <c r="A83" s="59"/>
      <c r="B83" s="60" t="s">
        <v>118</v>
      </c>
      <c r="C83" s="116"/>
      <c r="D83" s="61"/>
      <c r="E83" s="61"/>
      <c r="F83" s="61"/>
      <c r="G83" s="61"/>
      <c r="H83" s="62">
        <v>6.81</v>
      </c>
      <c r="I83" s="109"/>
    </row>
    <row r="84" spans="1:14" x14ac:dyDescent="0.2">
      <c r="A84" s="59"/>
      <c r="B84" s="60" t="s">
        <v>256</v>
      </c>
      <c r="C84" s="116"/>
      <c r="D84" s="61"/>
      <c r="E84" s="61"/>
      <c r="F84" s="61"/>
      <c r="G84" s="61"/>
      <c r="H84" s="62">
        <v>1.64</v>
      </c>
      <c r="I84" s="110">
        <f>SUM(H83:H84)</f>
        <v>8.4499999999999993</v>
      </c>
    </row>
    <row r="85" spans="1:14" ht="31.2" customHeight="1" x14ac:dyDescent="0.2">
      <c r="A85" s="246" t="str">
        <f>'Planilha Orçamentária'!C53</f>
        <v>7.4</v>
      </c>
      <c r="B85" s="247" t="str">
        <f>'Planilha Orçamentária'!D53</f>
        <v>PREPARO DE FUNDO DE VALA COM LARGURA MENOR QUE 1,5 M, EM LOCAL COM NÍVEL ALTO DE INTERFERÊNCIA. AF_06/2016</v>
      </c>
      <c r="C85" s="246" t="str">
        <f>'Planilha Orçamentária'!E53</f>
        <v>M²</v>
      </c>
      <c r="D85" s="53"/>
      <c r="E85" s="53"/>
      <c r="F85" s="53"/>
      <c r="G85" s="53"/>
      <c r="H85" s="58" t="s">
        <v>39</v>
      </c>
      <c r="I85" s="108"/>
    </row>
    <row r="86" spans="1:14" ht="21.6" x14ac:dyDescent="0.2">
      <c r="A86" s="59"/>
      <c r="B86" s="60" t="s">
        <v>118</v>
      </c>
      <c r="C86" s="116"/>
      <c r="D86" s="61"/>
      <c r="E86" s="61"/>
      <c r="F86" s="61"/>
      <c r="G86" s="61"/>
      <c r="H86" s="62">
        <v>4.1100000000000003</v>
      </c>
      <c r="I86" s="109">
        <f>H86</f>
        <v>4.1100000000000003</v>
      </c>
    </row>
    <row r="87" spans="1:14" x14ac:dyDescent="0.2">
      <c r="A87" s="246" t="str">
        <f>'Planilha Orçamentária'!C54</f>
        <v>7.5</v>
      </c>
      <c r="B87" s="247" t="str">
        <f>'Planilha Orçamentária'!D54</f>
        <v xml:space="preserve">PLANTIO DE GRAMA EM PLACAS. AF_05/2018 </v>
      </c>
      <c r="C87" s="246" t="str">
        <f>'Planilha Orçamentária'!E54</f>
        <v>M²</v>
      </c>
      <c r="D87" s="53"/>
      <c r="E87" s="53"/>
      <c r="F87" s="53"/>
      <c r="G87" s="53"/>
      <c r="H87" s="58" t="s">
        <v>39</v>
      </c>
      <c r="I87" s="108"/>
    </row>
    <row r="88" spans="1:14" ht="21.6" x14ac:dyDescent="0.2">
      <c r="A88" s="59"/>
      <c r="B88" s="60" t="s">
        <v>118</v>
      </c>
      <c r="C88" s="116"/>
      <c r="D88" s="61"/>
      <c r="E88" s="61"/>
      <c r="F88" s="61"/>
      <c r="G88" s="61"/>
      <c r="H88" s="62">
        <v>4.1100000000000003</v>
      </c>
      <c r="I88" s="109">
        <f>H88</f>
        <v>4.1100000000000003</v>
      </c>
    </row>
    <row r="89" spans="1:14" x14ac:dyDescent="0.2">
      <c r="A89" s="246" t="str">
        <f>'Planilha Orçamentária'!C55</f>
        <v>7.6</v>
      </c>
      <c r="B89" s="247" t="str">
        <f>'Planilha Orçamentária'!D55</f>
        <v>GUARDA-CORPO EM TUBO DE ACO GALVANIZADO (TIPO 1)</v>
      </c>
      <c r="C89" s="246" t="str">
        <f>'Planilha Orçamentária'!E55</f>
        <v>M</v>
      </c>
      <c r="D89" s="53"/>
      <c r="E89" s="53"/>
      <c r="F89" s="53"/>
      <c r="G89" s="53"/>
      <c r="H89" s="58" t="s">
        <v>39</v>
      </c>
      <c r="I89" s="108"/>
      <c r="J89" s="64"/>
      <c r="K89" s="64"/>
      <c r="L89" s="64"/>
      <c r="M89" s="64"/>
      <c r="N89" s="64"/>
    </row>
    <row r="90" spans="1:14" x14ac:dyDescent="0.2">
      <c r="A90" s="59"/>
      <c r="B90" s="60" t="s">
        <v>119</v>
      </c>
      <c r="C90" s="116"/>
      <c r="D90" s="61"/>
      <c r="E90" s="61"/>
      <c r="F90" s="61"/>
      <c r="G90" s="61"/>
      <c r="H90" s="61">
        <v>25.15</v>
      </c>
      <c r="I90" s="109"/>
      <c r="J90" s="64"/>
      <c r="K90" s="64"/>
      <c r="L90" s="64"/>
      <c r="M90" s="64"/>
      <c r="N90" s="64"/>
    </row>
    <row r="91" spans="1:14" x14ac:dyDescent="0.2">
      <c r="A91" s="59"/>
      <c r="B91" s="60" t="s">
        <v>120</v>
      </c>
      <c r="C91" s="116"/>
      <c r="D91" s="61"/>
      <c r="E91" s="61"/>
      <c r="F91" s="61"/>
      <c r="G91" s="61"/>
      <c r="H91" s="61">
        <v>25.95</v>
      </c>
      <c r="I91" s="109">
        <f>SUM(H90:H91)</f>
        <v>51.1</v>
      </c>
      <c r="J91" s="64"/>
      <c r="K91" s="64"/>
      <c r="L91" s="64"/>
      <c r="M91" s="64"/>
      <c r="N91" s="64"/>
    </row>
    <row r="92" spans="1:14" ht="22.5" customHeight="1" x14ac:dyDescent="0.2">
      <c r="A92" s="246" t="str">
        <f>'Planilha Orçamentária'!C56</f>
        <v>7.7</v>
      </c>
      <c r="B92" s="247" t="str">
        <f>'Planilha Orçamentária'!D56</f>
        <v>GUARDA-CORPO EM TUBO DE ACO GALVANIZADO (TIPO 2)</v>
      </c>
      <c r="C92" s="246" t="str">
        <f>'Planilha Orçamentária'!E56</f>
        <v>M</v>
      </c>
      <c r="D92" s="53"/>
      <c r="E92" s="103"/>
      <c r="F92" s="103"/>
      <c r="G92" s="53"/>
      <c r="H92" s="58" t="s">
        <v>39</v>
      </c>
      <c r="I92" s="108"/>
      <c r="J92" s="64"/>
      <c r="K92" s="64"/>
      <c r="L92" s="64"/>
      <c r="M92" s="64"/>
      <c r="N92" s="64"/>
    </row>
    <row r="93" spans="1:14" x14ac:dyDescent="0.2">
      <c r="A93" s="59"/>
      <c r="B93" s="60" t="s">
        <v>257</v>
      </c>
      <c r="C93" s="116"/>
      <c r="D93" s="61"/>
      <c r="E93" s="61"/>
      <c r="F93" s="61"/>
      <c r="G93" s="61"/>
      <c r="H93" s="61">
        <v>27</v>
      </c>
      <c r="I93" s="109">
        <f>H93</f>
        <v>27</v>
      </c>
      <c r="J93" s="64"/>
      <c r="K93" s="64"/>
      <c r="L93" s="64"/>
      <c r="M93" s="64"/>
      <c r="N93" s="64"/>
    </row>
    <row r="94" spans="1:14" ht="51.75" customHeight="1" x14ac:dyDescent="0.2">
      <c r="A94" s="246" t="str">
        <f>'Planilha Orçamentária'!C57</f>
        <v>7.8</v>
      </c>
      <c r="B94" s="247" t="str">
        <f>'Planilha Orçamentária'!D57</f>
        <v>PINTURA ESMALTE FOSCO, DUAS DEMAOS, SOBRE SUPERFICIE METALICA, INCLUSO UMA DEMAO DE FUNDO ANTICORROSIVO. UTILIZACAO DE REVOLVER ( AR-COMPRIMIDO)</v>
      </c>
      <c r="C94" s="246" t="str">
        <f>'Planilha Orçamentária'!E57</f>
        <v>M²</v>
      </c>
      <c r="D94" s="53"/>
      <c r="E94" s="103"/>
      <c r="F94" s="103"/>
      <c r="G94" s="53"/>
      <c r="H94" s="58" t="s">
        <v>39</v>
      </c>
      <c r="I94" s="108"/>
      <c r="J94" s="64"/>
      <c r="K94" s="64"/>
      <c r="L94" s="64"/>
      <c r="M94" s="64"/>
      <c r="N94" s="64"/>
    </row>
    <row r="95" spans="1:14" x14ac:dyDescent="0.2">
      <c r="A95" s="59"/>
      <c r="B95" s="180" t="s">
        <v>188</v>
      </c>
      <c r="C95" s="116"/>
      <c r="D95" s="61"/>
      <c r="E95" s="103" t="s">
        <v>36</v>
      </c>
      <c r="F95" s="53" t="s">
        <v>38</v>
      </c>
      <c r="G95" s="53" t="s">
        <v>157</v>
      </c>
      <c r="H95" s="181">
        <f>SUM(H96:H98)</f>
        <v>85.92</v>
      </c>
      <c r="I95" s="109"/>
      <c r="J95" s="64"/>
      <c r="K95" s="64"/>
      <c r="L95" s="64"/>
      <c r="M95" s="64"/>
      <c r="N95" s="64"/>
    </row>
    <row r="96" spans="1:14" x14ac:dyDescent="0.2">
      <c r="A96" s="59"/>
      <c r="B96" s="60" t="s">
        <v>258</v>
      </c>
      <c r="C96" s="116"/>
      <c r="D96" s="61"/>
      <c r="E96" s="61">
        <v>25.15</v>
      </c>
      <c r="F96" s="61">
        <v>1.1000000000000001</v>
      </c>
      <c r="G96" s="61">
        <v>1</v>
      </c>
      <c r="H96" s="62">
        <f>F96*E96</f>
        <v>27.67</v>
      </c>
      <c r="I96" s="109"/>
      <c r="J96" s="64"/>
      <c r="K96" s="64"/>
      <c r="L96" s="64"/>
      <c r="M96" s="64"/>
      <c r="N96" s="64"/>
    </row>
    <row r="97" spans="1:14" x14ac:dyDescent="0.2">
      <c r="A97" s="59"/>
      <c r="B97" s="60" t="s">
        <v>258</v>
      </c>
      <c r="C97" s="116"/>
      <c r="D97" s="61"/>
      <c r="E97" s="61">
        <v>25.95</v>
      </c>
      <c r="F97" s="61">
        <v>1.1000000000000001</v>
      </c>
      <c r="G97" s="61">
        <v>1</v>
      </c>
      <c r="H97" s="62">
        <f t="shared" ref="H97:H98" si="1">F97*E97</f>
        <v>28.55</v>
      </c>
      <c r="I97" s="109"/>
      <c r="J97" s="64"/>
      <c r="K97" s="64"/>
      <c r="L97" s="64"/>
      <c r="M97" s="64"/>
      <c r="N97" s="64"/>
    </row>
    <row r="98" spans="1:14" x14ac:dyDescent="0.2">
      <c r="A98" s="59"/>
      <c r="B98" s="60" t="s">
        <v>259</v>
      </c>
      <c r="C98" s="116"/>
      <c r="D98" s="61"/>
      <c r="E98" s="61">
        <v>27</v>
      </c>
      <c r="F98" s="61">
        <v>1.1000000000000001</v>
      </c>
      <c r="G98" s="61">
        <v>1</v>
      </c>
      <c r="H98" s="62">
        <f t="shared" si="1"/>
        <v>29.7</v>
      </c>
      <c r="I98" s="109"/>
      <c r="J98" s="64"/>
      <c r="K98" s="64"/>
      <c r="L98" s="64"/>
      <c r="M98" s="64"/>
      <c r="N98" s="64"/>
    </row>
    <row r="99" spans="1:14" x14ac:dyDescent="0.2">
      <c r="A99" s="59"/>
      <c r="B99" s="180" t="s">
        <v>189</v>
      </c>
      <c r="C99" s="116"/>
      <c r="D99" s="61"/>
      <c r="E99" s="103" t="s">
        <v>36</v>
      </c>
      <c r="F99" s="53" t="s">
        <v>37</v>
      </c>
      <c r="G99" s="53" t="s">
        <v>157</v>
      </c>
      <c r="H99" s="181">
        <f>SUM(H100:H102)</f>
        <v>3</v>
      </c>
      <c r="I99" s="109"/>
      <c r="J99" s="64"/>
      <c r="K99" s="64"/>
      <c r="L99" s="64"/>
      <c r="M99" s="64"/>
      <c r="N99" s="64"/>
    </row>
    <row r="100" spans="1:14" x14ac:dyDescent="0.2">
      <c r="A100" s="59"/>
      <c r="B100" s="60" t="s">
        <v>262</v>
      </c>
      <c r="C100" s="116"/>
      <c r="D100" s="61"/>
      <c r="E100" s="61">
        <v>0.3</v>
      </c>
      <c r="F100" s="61">
        <v>0.28000000000000003</v>
      </c>
      <c r="G100" s="61">
        <v>4</v>
      </c>
      <c r="H100" s="62">
        <f>G100*F100*E100</f>
        <v>0.34</v>
      </c>
      <c r="I100" s="109"/>
      <c r="J100" s="64"/>
      <c r="K100" s="64"/>
      <c r="L100" s="64"/>
      <c r="M100" s="64"/>
      <c r="N100" s="64"/>
    </row>
    <row r="101" spans="1:14" x14ac:dyDescent="0.2">
      <c r="A101" s="59"/>
      <c r="B101" s="60" t="s">
        <v>263</v>
      </c>
      <c r="C101" s="116"/>
      <c r="D101" s="61"/>
      <c r="E101" s="61">
        <v>0.57999999999999996</v>
      </c>
      <c r="F101" s="61">
        <v>0.3</v>
      </c>
      <c r="G101" s="61">
        <v>9</v>
      </c>
      <c r="H101" s="62">
        <f t="shared" ref="H101:H102" si="2">G101*F101*E101</f>
        <v>1.57</v>
      </c>
      <c r="I101" s="109"/>
      <c r="J101" s="64"/>
      <c r="K101" s="64"/>
      <c r="L101" s="64"/>
      <c r="M101" s="64"/>
      <c r="N101" s="64"/>
    </row>
    <row r="102" spans="1:14" x14ac:dyDescent="0.2">
      <c r="A102" s="59"/>
      <c r="B102" s="60" t="s">
        <v>264</v>
      </c>
      <c r="C102" s="116"/>
      <c r="D102" s="61"/>
      <c r="E102" s="61">
        <v>0.4</v>
      </c>
      <c r="F102" s="61">
        <v>0.39</v>
      </c>
      <c r="G102" s="61">
        <v>7</v>
      </c>
      <c r="H102" s="62">
        <f t="shared" si="2"/>
        <v>1.0900000000000001</v>
      </c>
      <c r="I102" s="109"/>
      <c r="J102" s="64"/>
      <c r="K102" s="64"/>
      <c r="L102" s="64"/>
      <c r="M102" s="64"/>
      <c r="N102" s="64"/>
    </row>
    <row r="103" spans="1:14" x14ac:dyDescent="0.2">
      <c r="A103" s="59"/>
      <c r="B103" s="180" t="s">
        <v>190</v>
      </c>
      <c r="C103" s="116"/>
      <c r="D103" s="61"/>
      <c r="E103" s="103" t="s">
        <v>36</v>
      </c>
      <c r="F103" s="53" t="s">
        <v>192</v>
      </c>
      <c r="G103" s="53" t="s">
        <v>157</v>
      </c>
      <c r="H103" s="181">
        <f>SUM(H104:H105)</f>
        <v>19.350000000000001</v>
      </c>
      <c r="I103" s="109"/>
      <c r="J103" s="64"/>
      <c r="K103" s="64"/>
      <c r="L103" s="64"/>
      <c r="M103" s="64"/>
      <c r="N103" s="64"/>
    </row>
    <row r="104" spans="1:14" x14ac:dyDescent="0.2">
      <c r="A104" s="59"/>
      <c r="B104" s="60" t="s">
        <v>265</v>
      </c>
      <c r="C104" s="116"/>
      <c r="D104" s="61"/>
      <c r="E104" s="61">
        <v>2.14</v>
      </c>
      <c r="F104" s="61">
        <v>0.54</v>
      </c>
      <c r="G104" s="61">
        <v>4</v>
      </c>
      <c r="H104" s="62">
        <f>G104*F104*E104</f>
        <v>4.62</v>
      </c>
      <c r="I104" s="109"/>
      <c r="J104" s="64"/>
      <c r="K104" s="64"/>
      <c r="L104" s="64"/>
      <c r="M104" s="64"/>
      <c r="N104" s="64"/>
    </row>
    <row r="105" spans="1:14" x14ac:dyDescent="0.2">
      <c r="A105" s="59"/>
      <c r="B105" s="60" t="s">
        <v>266</v>
      </c>
      <c r="C105" s="116"/>
      <c r="D105" s="61"/>
      <c r="E105" s="61">
        <f>2.14+0.888</f>
        <v>3.03</v>
      </c>
      <c r="F105" s="61">
        <v>0.54</v>
      </c>
      <c r="G105" s="61">
        <v>9</v>
      </c>
      <c r="H105" s="62">
        <f t="shared" ref="H105" si="3">G105*F105*E105</f>
        <v>14.73</v>
      </c>
      <c r="I105" s="109"/>
      <c r="J105" s="64"/>
      <c r="K105" s="64"/>
      <c r="L105" s="64"/>
      <c r="M105" s="64"/>
      <c r="N105" s="64"/>
    </row>
    <row r="106" spans="1:14" x14ac:dyDescent="0.2">
      <c r="A106" s="59"/>
      <c r="B106" s="180" t="s">
        <v>260</v>
      </c>
      <c r="C106" s="116"/>
      <c r="D106" s="61"/>
      <c r="E106" s="103"/>
      <c r="F106" s="53"/>
      <c r="G106" s="53" t="s">
        <v>64</v>
      </c>
      <c r="H106" s="181">
        <f>SUM(H107)</f>
        <v>35.65</v>
      </c>
      <c r="I106" s="109"/>
      <c r="J106" s="64"/>
      <c r="K106" s="64"/>
      <c r="L106" s="64"/>
      <c r="M106" s="64"/>
      <c r="N106" s="64"/>
    </row>
    <row r="107" spans="1:14" x14ac:dyDescent="0.2">
      <c r="A107" s="59"/>
      <c r="B107" s="60" t="s">
        <v>261</v>
      </c>
      <c r="C107" s="116"/>
      <c r="D107" s="61"/>
      <c r="E107" s="61"/>
      <c r="F107" s="61"/>
      <c r="G107" s="61">
        <v>35.65</v>
      </c>
      <c r="H107" s="62">
        <f>G107</f>
        <v>35.65</v>
      </c>
      <c r="I107" s="109"/>
      <c r="J107" s="64"/>
      <c r="K107" s="64"/>
      <c r="L107" s="64"/>
      <c r="M107" s="64"/>
      <c r="N107" s="64"/>
    </row>
    <row r="108" spans="1:14" x14ac:dyDescent="0.2">
      <c r="A108" s="59"/>
      <c r="B108" s="180" t="s">
        <v>191</v>
      </c>
      <c r="C108" s="116"/>
      <c r="D108" s="103"/>
      <c r="E108" s="103" t="s">
        <v>36</v>
      </c>
      <c r="F108" s="53" t="s">
        <v>192</v>
      </c>
      <c r="G108" s="53" t="s">
        <v>157</v>
      </c>
      <c r="H108" s="181">
        <f>SUM(H109:H112)</f>
        <v>104.46</v>
      </c>
      <c r="I108" s="109"/>
      <c r="J108" s="64"/>
      <c r="K108" s="64"/>
      <c r="L108" s="64"/>
      <c r="M108" s="64"/>
      <c r="N108" s="64"/>
    </row>
    <row r="109" spans="1:14" x14ac:dyDescent="0.2">
      <c r="A109" s="223"/>
      <c r="B109" s="60" t="s">
        <v>267</v>
      </c>
      <c r="C109" s="224"/>
      <c r="D109" s="225"/>
      <c r="E109" s="225">
        <v>5.37</v>
      </c>
      <c r="F109" s="225">
        <v>0.54</v>
      </c>
      <c r="G109" s="225">
        <v>7</v>
      </c>
      <c r="H109" s="226">
        <f>G109*F109*E109</f>
        <v>20.3</v>
      </c>
      <c r="I109" s="227"/>
      <c r="J109" s="64"/>
      <c r="K109" s="64"/>
      <c r="L109" s="64"/>
      <c r="M109" s="64"/>
      <c r="N109" s="64"/>
    </row>
    <row r="110" spans="1:14" x14ac:dyDescent="0.2">
      <c r="A110" s="223"/>
      <c r="B110" s="60" t="s">
        <v>268</v>
      </c>
      <c r="C110" s="224"/>
      <c r="D110" s="225"/>
      <c r="E110" s="225">
        <v>1.7</v>
      </c>
      <c r="F110" s="225">
        <f>F109</f>
        <v>0.54</v>
      </c>
      <c r="G110" s="225">
        <v>7</v>
      </c>
      <c r="H110" s="226">
        <f t="shared" ref="H110:H111" si="4">G110*F110*E110</f>
        <v>6.43</v>
      </c>
      <c r="I110" s="227"/>
      <c r="J110" s="64"/>
      <c r="K110" s="64"/>
      <c r="L110" s="64"/>
      <c r="M110" s="64"/>
      <c r="N110" s="64"/>
    </row>
    <row r="111" spans="1:14" x14ac:dyDescent="0.2">
      <c r="A111" s="223"/>
      <c r="B111" s="60" t="s">
        <v>269</v>
      </c>
      <c r="C111" s="224"/>
      <c r="D111" s="225"/>
      <c r="E111" s="225">
        <v>3.75</v>
      </c>
      <c r="F111" s="225">
        <f>F109</f>
        <v>0.54</v>
      </c>
      <c r="G111" s="225">
        <v>7</v>
      </c>
      <c r="H111" s="226">
        <f t="shared" si="4"/>
        <v>14.18</v>
      </c>
      <c r="I111" s="227"/>
      <c r="J111" s="64"/>
      <c r="K111" s="64"/>
      <c r="L111" s="64"/>
      <c r="M111" s="64"/>
      <c r="N111" s="64"/>
    </row>
    <row r="112" spans="1:14" x14ac:dyDescent="0.2">
      <c r="A112" s="223"/>
      <c r="B112" s="60" t="s">
        <v>270</v>
      </c>
      <c r="C112" s="224"/>
      <c r="D112" s="225"/>
      <c r="E112" s="225"/>
      <c r="F112" s="225"/>
      <c r="G112" s="225"/>
      <c r="H112" s="226">
        <v>63.55</v>
      </c>
      <c r="I112" s="227">
        <f>H108+H103+H99+H95</f>
        <v>212.73</v>
      </c>
      <c r="J112" s="64"/>
      <c r="K112" s="64"/>
      <c r="L112" s="64"/>
      <c r="M112" s="64"/>
      <c r="N112" s="64"/>
    </row>
    <row r="113" spans="1:14" x14ac:dyDescent="0.2">
      <c r="A113" s="66"/>
      <c r="B113" s="177"/>
      <c r="C113" s="68"/>
      <c r="D113" s="178"/>
      <c r="E113" s="178"/>
      <c r="F113" s="178"/>
      <c r="G113" s="178"/>
      <c r="H113" s="178"/>
      <c r="I113" s="179"/>
      <c r="J113" s="64"/>
      <c r="K113" s="64"/>
      <c r="L113" s="64"/>
      <c r="M113" s="64"/>
      <c r="N113" s="64"/>
    </row>
    <row r="114" spans="1:14" x14ac:dyDescent="0.2">
      <c r="A114" s="66"/>
      <c r="B114" s="177"/>
      <c r="C114" s="68"/>
      <c r="D114" s="178"/>
      <c r="E114" s="178"/>
      <c r="F114" s="178"/>
      <c r="G114" s="178"/>
      <c r="H114" s="178"/>
      <c r="I114" s="179"/>
      <c r="J114" s="64"/>
      <c r="K114" s="64"/>
      <c r="L114" s="64"/>
      <c r="M114" s="64"/>
      <c r="N114" s="64"/>
    </row>
    <row r="115" spans="1:14" ht="15.75" customHeight="1" x14ac:dyDescent="0.2">
      <c r="A115" s="66"/>
      <c r="B115" s="177"/>
      <c r="C115" s="68"/>
      <c r="D115" s="178"/>
      <c r="E115" s="178"/>
      <c r="F115" s="178"/>
      <c r="G115" s="178"/>
      <c r="H115" s="178"/>
      <c r="I115" s="179"/>
      <c r="J115" s="64"/>
      <c r="K115" s="64"/>
      <c r="L115" s="64"/>
      <c r="M115" s="64"/>
      <c r="N115" s="64"/>
    </row>
    <row r="116" spans="1:14" x14ac:dyDescent="0.2">
      <c r="A116" s="66"/>
      <c r="B116" s="67"/>
      <c r="C116" s="68"/>
      <c r="D116" s="319" t="s">
        <v>182</v>
      </c>
      <c r="E116" s="319"/>
      <c r="F116" s="319"/>
      <c r="G116" s="70"/>
      <c r="H116" s="70"/>
      <c r="I116" s="71"/>
      <c r="J116" s="64"/>
      <c r="K116" s="64"/>
      <c r="L116" s="64"/>
      <c r="M116" s="64"/>
      <c r="N116" s="64"/>
    </row>
    <row r="117" spans="1:14" x14ac:dyDescent="0.2">
      <c r="A117" s="66"/>
      <c r="B117" s="67"/>
      <c r="C117" s="68"/>
      <c r="D117" s="318" t="s">
        <v>183</v>
      </c>
      <c r="E117" s="318"/>
      <c r="F117" s="318"/>
      <c r="G117" s="70"/>
      <c r="H117" s="70"/>
      <c r="I117" s="71"/>
      <c r="J117" s="64"/>
      <c r="K117" s="64"/>
      <c r="L117" s="64"/>
      <c r="M117" s="64"/>
      <c r="N117" s="64"/>
    </row>
    <row r="118" spans="1:14" x14ac:dyDescent="0.2">
      <c r="A118" s="66"/>
      <c r="B118" s="67"/>
      <c r="C118" s="68"/>
      <c r="D118" s="69"/>
      <c r="E118" s="70"/>
      <c r="F118" s="70"/>
      <c r="G118" s="70"/>
      <c r="H118" s="70"/>
      <c r="I118" s="71"/>
      <c r="J118" s="64"/>
      <c r="K118" s="64"/>
      <c r="L118" s="64"/>
      <c r="M118" s="64"/>
      <c r="N118" s="64"/>
    </row>
    <row r="119" spans="1:14" x14ac:dyDescent="0.2">
      <c r="A119" s="66"/>
      <c r="B119" s="67"/>
      <c r="C119" s="68"/>
      <c r="D119" s="69"/>
      <c r="E119" s="70"/>
      <c r="F119" s="70"/>
      <c r="G119" s="70"/>
      <c r="H119" s="70"/>
      <c r="I119" s="71"/>
      <c r="J119" s="64"/>
      <c r="K119" s="64"/>
      <c r="L119" s="64"/>
      <c r="M119" s="64"/>
      <c r="N119" s="64"/>
    </row>
    <row r="120" spans="1:14" x14ac:dyDescent="0.2">
      <c r="A120" s="66"/>
      <c r="B120" s="67"/>
      <c r="C120" s="68"/>
      <c r="D120" s="69"/>
      <c r="E120" s="70"/>
      <c r="F120" s="70"/>
      <c r="G120" s="70"/>
      <c r="H120" s="70"/>
      <c r="I120" s="71"/>
      <c r="J120" s="64"/>
      <c r="K120" s="64"/>
      <c r="L120" s="64"/>
      <c r="M120" s="64"/>
      <c r="N120" s="64"/>
    </row>
    <row r="121" spans="1:14" x14ac:dyDescent="0.2">
      <c r="A121" s="66"/>
      <c r="B121" s="67"/>
      <c r="C121" s="68"/>
      <c r="D121" s="69"/>
      <c r="E121" s="70"/>
      <c r="F121" s="70"/>
      <c r="G121" s="70"/>
      <c r="H121" s="70"/>
      <c r="I121" s="71"/>
      <c r="J121" s="64"/>
      <c r="K121" s="64"/>
      <c r="L121" s="64"/>
      <c r="M121" s="64"/>
      <c r="N121" s="64"/>
    </row>
    <row r="122" spans="1:14" x14ac:dyDescent="0.2">
      <c r="A122" s="66"/>
      <c r="B122" s="67"/>
      <c r="C122" s="68"/>
      <c r="D122" s="69"/>
      <c r="E122" s="70"/>
      <c r="F122" s="70"/>
      <c r="G122" s="70"/>
      <c r="H122" s="70"/>
      <c r="I122" s="72"/>
      <c r="J122" s="64"/>
      <c r="K122" s="64"/>
      <c r="L122" s="64"/>
      <c r="M122" s="64"/>
      <c r="N122" s="64"/>
    </row>
    <row r="123" spans="1:14" x14ac:dyDescent="0.2">
      <c r="A123" s="66"/>
      <c r="B123" s="67"/>
      <c r="C123" s="68"/>
      <c r="D123" s="69"/>
      <c r="E123" s="70"/>
      <c r="F123" s="70"/>
      <c r="G123" s="70"/>
      <c r="H123" s="70"/>
      <c r="I123" s="72"/>
      <c r="J123" s="64"/>
      <c r="K123" s="64"/>
      <c r="L123" s="64"/>
      <c r="M123" s="64"/>
      <c r="N123" s="64"/>
    </row>
    <row r="124" spans="1:14" x14ac:dyDescent="0.2">
      <c r="A124" s="66"/>
      <c r="B124" s="67"/>
      <c r="C124" s="68"/>
      <c r="D124" s="46"/>
      <c r="E124" s="70"/>
      <c r="F124" s="70"/>
      <c r="G124" s="70"/>
      <c r="H124" s="70"/>
      <c r="I124" s="72"/>
      <c r="J124" s="64"/>
      <c r="K124" s="64"/>
      <c r="L124" s="64"/>
      <c r="M124" s="64"/>
      <c r="N124" s="64"/>
    </row>
    <row r="125" spans="1:14" x14ac:dyDescent="0.2">
      <c r="A125" s="66"/>
      <c r="B125" s="67"/>
      <c r="C125" s="68"/>
      <c r="D125" s="46"/>
      <c r="E125" s="70"/>
      <c r="F125" s="70"/>
      <c r="G125" s="70"/>
      <c r="H125" s="70"/>
      <c r="I125" s="72"/>
      <c r="J125" s="64"/>
      <c r="K125" s="64"/>
      <c r="L125" s="64"/>
      <c r="M125" s="64"/>
      <c r="N125" s="64"/>
    </row>
    <row r="126" spans="1:14" x14ac:dyDescent="0.2">
      <c r="A126" s="66"/>
      <c r="B126" s="67"/>
      <c r="C126" s="68"/>
      <c r="D126" s="69"/>
      <c r="E126" s="70"/>
      <c r="F126" s="70"/>
      <c r="G126" s="70"/>
      <c r="H126" s="70"/>
      <c r="I126" s="72"/>
      <c r="J126" s="64"/>
      <c r="K126" s="64"/>
      <c r="L126" s="64"/>
      <c r="M126" s="64"/>
      <c r="N126" s="64"/>
    </row>
    <row r="127" spans="1:14" x14ac:dyDescent="0.2">
      <c r="A127" s="66"/>
      <c r="B127" s="67"/>
      <c r="C127" s="68"/>
      <c r="D127" s="69"/>
      <c r="E127" s="70"/>
      <c r="F127" s="70"/>
      <c r="G127" s="70"/>
      <c r="H127" s="70"/>
      <c r="I127" s="72"/>
      <c r="J127" s="64"/>
      <c r="K127" s="64"/>
      <c r="L127" s="64"/>
      <c r="M127" s="64"/>
      <c r="N127" s="64"/>
    </row>
    <row r="128" spans="1:14" x14ac:dyDescent="0.2">
      <c r="A128" s="66"/>
      <c r="B128" s="67"/>
      <c r="C128" s="68"/>
      <c r="D128" s="69"/>
      <c r="E128" s="70"/>
      <c r="F128" s="70"/>
      <c r="G128" s="70"/>
      <c r="H128" s="70"/>
      <c r="I128" s="72"/>
      <c r="J128" s="64"/>
      <c r="K128" s="64"/>
      <c r="L128" s="64"/>
      <c r="M128" s="64"/>
      <c r="N128" s="64"/>
    </row>
    <row r="129" spans="1:14" x14ac:dyDescent="0.2">
      <c r="A129" s="66"/>
      <c r="B129" s="67"/>
      <c r="C129" s="68"/>
      <c r="D129" s="69"/>
      <c r="E129" s="70"/>
      <c r="F129" s="70"/>
      <c r="G129" s="70"/>
      <c r="H129" s="70"/>
      <c r="I129" s="72"/>
      <c r="J129" s="64"/>
      <c r="K129" s="64"/>
      <c r="L129" s="64"/>
      <c r="M129" s="64"/>
      <c r="N129" s="64"/>
    </row>
    <row r="130" spans="1:14" x14ac:dyDescent="0.2">
      <c r="A130" s="66"/>
      <c r="B130" s="67"/>
      <c r="C130" s="68"/>
      <c r="D130" s="69"/>
      <c r="E130" s="70"/>
      <c r="F130" s="70"/>
      <c r="G130" s="70"/>
      <c r="H130" s="70"/>
      <c r="I130" s="72"/>
      <c r="J130" s="64"/>
      <c r="K130" s="64"/>
      <c r="L130" s="64"/>
      <c r="M130" s="64"/>
      <c r="N130" s="64"/>
    </row>
    <row r="131" spans="1:14" x14ac:dyDescent="0.2">
      <c r="A131" s="66"/>
      <c r="B131" s="67"/>
      <c r="C131" s="68"/>
      <c r="D131" s="69"/>
      <c r="E131" s="70"/>
      <c r="F131" s="70"/>
      <c r="G131" s="70"/>
      <c r="H131" s="70"/>
      <c r="I131" s="72"/>
      <c r="J131" s="64"/>
      <c r="K131" s="64"/>
      <c r="L131" s="64"/>
      <c r="M131" s="64"/>
      <c r="N131" s="64"/>
    </row>
    <row r="132" spans="1:14" x14ac:dyDescent="0.2">
      <c r="A132" s="66"/>
      <c r="B132" s="67"/>
      <c r="C132" s="68"/>
      <c r="D132" s="69"/>
      <c r="E132" s="70"/>
      <c r="F132" s="70"/>
      <c r="G132" s="70"/>
      <c r="H132" s="70"/>
      <c r="I132" s="72"/>
      <c r="J132" s="64"/>
      <c r="K132" s="64"/>
      <c r="L132" s="64"/>
      <c r="M132" s="64"/>
      <c r="N132" s="64"/>
    </row>
    <row r="133" spans="1:14" x14ac:dyDescent="0.2">
      <c r="A133" s="66"/>
      <c r="B133" s="67"/>
      <c r="C133" s="68"/>
      <c r="D133" s="69"/>
      <c r="E133" s="70"/>
      <c r="F133" s="70"/>
      <c r="G133" s="70"/>
      <c r="H133" s="70"/>
      <c r="I133" s="72"/>
      <c r="J133" s="64"/>
      <c r="K133" s="64"/>
      <c r="L133" s="64"/>
      <c r="M133" s="64"/>
      <c r="N133" s="64"/>
    </row>
    <row r="134" spans="1:14" x14ac:dyDescent="0.2">
      <c r="A134" s="66"/>
      <c r="B134" s="67"/>
      <c r="C134" s="68"/>
      <c r="D134" s="69"/>
      <c r="E134" s="70"/>
      <c r="F134" s="70"/>
      <c r="G134" s="70"/>
      <c r="H134" s="70"/>
      <c r="I134" s="72"/>
      <c r="J134" s="64"/>
      <c r="K134" s="64"/>
      <c r="L134" s="64"/>
      <c r="M134" s="64"/>
      <c r="N134" s="64"/>
    </row>
    <row r="135" spans="1:14" x14ac:dyDescent="0.2">
      <c r="A135" s="66"/>
      <c r="B135" s="67"/>
      <c r="C135" s="68"/>
      <c r="D135" s="69"/>
      <c r="E135" s="70"/>
      <c r="F135" s="70"/>
      <c r="G135" s="70"/>
      <c r="H135" s="70"/>
      <c r="I135" s="71"/>
      <c r="J135" s="64"/>
      <c r="K135" s="64"/>
      <c r="L135" s="64"/>
      <c r="M135" s="64"/>
      <c r="N135" s="64"/>
    </row>
    <row r="136" spans="1:14" x14ac:dyDescent="0.2">
      <c r="A136" s="66"/>
      <c r="B136" s="67"/>
      <c r="C136" s="68"/>
      <c r="D136" s="69"/>
      <c r="E136" s="70"/>
      <c r="F136" s="70"/>
      <c r="G136" s="70"/>
      <c r="H136" s="70"/>
      <c r="I136" s="71"/>
      <c r="J136" s="64"/>
      <c r="K136" s="64"/>
      <c r="L136" s="64"/>
      <c r="M136" s="64"/>
      <c r="N136" s="64"/>
    </row>
    <row r="137" spans="1:14" x14ac:dyDescent="0.2">
      <c r="A137" s="66"/>
      <c r="B137" s="67"/>
      <c r="C137" s="68"/>
      <c r="D137" s="69"/>
      <c r="E137" s="70"/>
      <c r="F137" s="70"/>
      <c r="G137" s="70"/>
      <c r="H137" s="70"/>
      <c r="I137" s="71"/>
      <c r="J137" s="64"/>
      <c r="K137" s="64"/>
      <c r="L137" s="64"/>
      <c r="M137" s="64"/>
      <c r="N137" s="64"/>
    </row>
    <row r="138" spans="1:14" x14ac:dyDescent="0.2">
      <c r="A138" s="66"/>
      <c r="B138" s="67"/>
      <c r="C138" s="68"/>
      <c r="D138" s="69"/>
      <c r="E138" s="70"/>
      <c r="F138" s="70"/>
      <c r="G138" s="70"/>
      <c r="H138" s="70"/>
      <c r="I138" s="71"/>
      <c r="J138" s="64"/>
      <c r="K138" s="64"/>
      <c r="L138" s="64"/>
      <c r="M138" s="64"/>
      <c r="N138" s="64"/>
    </row>
    <row r="139" spans="1:14" x14ac:dyDescent="0.2">
      <c r="A139" s="66"/>
      <c r="B139" s="67"/>
      <c r="C139" s="68"/>
      <c r="D139" s="69"/>
      <c r="E139" s="70"/>
      <c r="F139" s="70"/>
      <c r="G139" s="70"/>
      <c r="H139" s="70"/>
      <c r="I139" s="71"/>
      <c r="J139" s="64"/>
      <c r="K139" s="64"/>
      <c r="L139" s="64"/>
      <c r="M139" s="64"/>
      <c r="N139" s="64"/>
    </row>
    <row r="140" spans="1:14" x14ac:dyDescent="0.2">
      <c r="A140" s="66"/>
      <c r="B140" s="67"/>
      <c r="C140" s="68"/>
      <c r="D140" s="69"/>
      <c r="E140" s="70"/>
      <c r="F140" s="70"/>
      <c r="G140" s="70"/>
      <c r="H140" s="70"/>
      <c r="I140" s="70"/>
      <c r="J140" s="64"/>
      <c r="K140" s="64"/>
      <c r="L140" s="64"/>
      <c r="M140" s="64"/>
      <c r="N140" s="64"/>
    </row>
    <row r="141" spans="1:14" x14ac:dyDescent="0.2">
      <c r="A141" s="73"/>
      <c r="B141" s="74"/>
      <c r="C141" s="75"/>
      <c r="D141" s="69"/>
      <c r="E141" s="70"/>
      <c r="F141" s="70"/>
      <c r="G141" s="70"/>
      <c r="H141" s="70"/>
      <c r="I141" s="70"/>
      <c r="J141" s="64"/>
      <c r="K141" s="64"/>
      <c r="L141" s="64"/>
      <c r="M141" s="64"/>
      <c r="N141" s="64"/>
    </row>
    <row r="142" spans="1:14" x14ac:dyDescent="0.2">
      <c r="A142" s="66"/>
      <c r="B142" s="67"/>
      <c r="C142" s="68"/>
      <c r="D142" s="69"/>
      <c r="E142" s="70"/>
      <c r="F142" s="70"/>
      <c r="G142" s="70"/>
      <c r="H142" s="70"/>
      <c r="I142" s="70"/>
      <c r="J142" s="64"/>
      <c r="K142" s="64"/>
      <c r="L142" s="64"/>
      <c r="M142" s="64"/>
      <c r="N142" s="64"/>
    </row>
    <row r="143" spans="1:14" x14ac:dyDescent="0.2">
      <c r="A143" s="66"/>
      <c r="B143" s="67"/>
      <c r="C143" s="68"/>
      <c r="D143" s="69"/>
      <c r="E143" s="70"/>
      <c r="F143" s="70"/>
      <c r="G143" s="70"/>
      <c r="H143" s="70"/>
      <c r="I143" s="71"/>
      <c r="J143" s="64"/>
      <c r="K143" s="64"/>
      <c r="L143" s="64"/>
      <c r="M143" s="64"/>
      <c r="N143" s="64"/>
    </row>
    <row r="144" spans="1:14" x14ac:dyDescent="0.2">
      <c r="A144" s="66"/>
      <c r="B144" s="67"/>
      <c r="C144" s="68"/>
      <c r="D144" s="68"/>
      <c r="E144" s="76"/>
      <c r="F144" s="76"/>
      <c r="G144" s="76"/>
      <c r="H144" s="71"/>
      <c r="I144" s="71"/>
      <c r="J144" s="64"/>
      <c r="K144" s="64"/>
      <c r="L144" s="64"/>
      <c r="M144" s="64"/>
      <c r="N144" s="64"/>
    </row>
    <row r="145" spans="1:14" x14ac:dyDescent="0.2">
      <c r="A145" s="66"/>
      <c r="B145" s="67"/>
      <c r="C145" s="68"/>
      <c r="D145" s="72"/>
      <c r="E145" s="70"/>
      <c r="F145" s="70"/>
      <c r="G145" s="70"/>
      <c r="H145" s="70"/>
      <c r="I145" s="70"/>
      <c r="J145" s="64"/>
      <c r="K145" s="64"/>
      <c r="L145" s="64"/>
      <c r="M145" s="64"/>
      <c r="N145" s="64"/>
    </row>
    <row r="146" spans="1:14" x14ac:dyDescent="0.2">
      <c r="A146" s="66"/>
      <c r="B146" s="67"/>
      <c r="C146" s="68"/>
      <c r="D146" s="72"/>
      <c r="E146" s="70"/>
      <c r="F146" s="70"/>
      <c r="G146" s="70"/>
      <c r="H146" s="70"/>
      <c r="I146" s="70"/>
      <c r="J146" s="64"/>
      <c r="K146" s="64"/>
      <c r="L146" s="64"/>
      <c r="M146" s="64"/>
      <c r="N146" s="64"/>
    </row>
    <row r="147" spans="1:14" x14ac:dyDescent="0.2">
      <c r="A147" s="66"/>
      <c r="B147" s="67"/>
      <c r="C147" s="68"/>
      <c r="D147" s="72"/>
      <c r="E147" s="70"/>
      <c r="F147" s="70"/>
      <c r="G147" s="70"/>
      <c r="H147" s="70"/>
      <c r="I147" s="70"/>
      <c r="J147" s="64"/>
      <c r="K147" s="64"/>
      <c r="L147" s="64"/>
      <c r="M147" s="64"/>
      <c r="N147" s="64"/>
    </row>
    <row r="148" spans="1:14" x14ac:dyDescent="0.2">
      <c r="A148" s="66"/>
      <c r="B148" s="67"/>
      <c r="C148" s="68"/>
      <c r="D148" s="72"/>
      <c r="E148" s="70"/>
      <c r="F148" s="70"/>
      <c r="G148" s="70"/>
      <c r="H148" s="70"/>
      <c r="I148" s="70"/>
      <c r="J148" s="64"/>
      <c r="K148" s="64"/>
      <c r="L148" s="64"/>
      <c r="M148" s="64"/>
      <c r="N148" s="64"/>
    </row>
    <row r="149" spans="1:14" x14ac:dyDescent="0.2">
      <c r="A149" s="66"/>
      <c r="B149" s="67"/>
      <c r="C149" s="68"/>
      <c r="D149" s="72"/>
      <c r="E149" s="70"/>
      <c r="F149" s="70"/>
      <c r="G149" s="70"/>
      <c r="H149" s="70"/>
      <c r="I149" s="70"/>
      <c r="J149" s="64"/>
      <c r="K149" s="64"/>
      <c r="L149" s="64"/>
      <c r="M149" s="64"/>
      <c r="N149" s="64"/>
    </row>
    <row r="150" spans="1:14" x14ac:dyDescent="0.2">
      <c r="A150" s="66"/>
      <c r="B150" s="67"/>
      <c r="C150" s="68"/>
      <c r="D150" s="72"/>
      <c r="E150" s="70"/>
      <c r="F150" s="70"/>
      <c r="G150" s="70"/>
      <c r="H150" s="70"/>
      <c r="I150" s="70"/>
      <c r="J150" s="64"/>
      <c r="K150" s="64"/>
      <c r="L150" s="64"/>
      <c r="M150" s="64"/>
      <c r="N150" s="64"/>
    </row>
    <row r="151" spans="1:14" x14ac:dyDescent="0.2">
      <c r="A151" s="66"/>
      <c r="B151" s="67"/>
      <c r="C151" s="68"/>
      <c r="D151" s="69"/>
      <c r="E151" s="70"/>
      <c r="F151" s="70"/>
      <c r="G151" s="70"/>
      <c r="H151" s="70"/>
      <c r="I151" s="70"/>
      <c r="J151" s="64"/>
      <c r="K151" s="64"/>
      <c r="L151" s="64"/>
      <c r="M151" s="64"/>
      <c r="N151" s="64"/>
    </row>
    <row r="152" spans="1:14" x14ac:dyDescent="0.2">
      <c r="A152" s="66"/>
      <c r="B152" s="67"/>
      <c r="C152" s="68"/>
      <c r="D152" s="69"/>
      <c r="E152" s="70"/>
      <c r="F152" s="70"/>
      <c r="G152" s="70"/>
      <c r="H152" s="70"/>
      <c r="I152" s="70"/>
      <c r="J152" s="64"/>
      <c r="K152" s="64"/>
      <c r="L152" s="64"/>
      <c r="M152" s="64"/>
      <c r="N152" s="64"/>
    </row>
    <row r="153" spans="1:14" x14ac:dyDescent="0.2">
      <c r="A153" s="66"/>
      <c r="B153" s="67"/>
      <c r="C153" s="68"/>
      <c r="D153" s="69"/>
      <c r="E153" s="70"/>
      <c r="F153" s="70"/>
      <c r="G153" s="70"/>
      <c r="H153" s="70"/>
      <c r="I153" s="70"/>
      <c r="J153" s="64"/>
      <c r="K153" s="64"/>
      <c r="L153" s="64"/>
      <c r="M153" s="64"/>
      <c r="N153" s="64"/>
    </row>
    <row r="154" spans="1:14" x14ac:dyDescent="0.2">
      <c r="A154" s="66"/>
      <c r="B154" s="67"/>
      <c r="C154" s="68"/>
      <c r="D154" s="69"/>
      <c r="E154" s="70"/>
      <c r="F154" s="70"/>
      <c r="G154" s="70"/>
      <c r="H154" s="70"/>
      <c r="I154" s="70"/>
      <c r="J154" s="64"/>
      <c r="K154" s="64"/>
      <c r="L154" s="64"/>
      <c r="M154" s="64"/>
      <c r="N154" s="64"/>
    </row>
    <row r="155" spans="1:14" x14ac:dyDescent="0.2">
      <c r="A155" s="66"/>
      <c r="B155" s="67"/>
      <c r="C155" s="68"/>
      <c r="D155" s="69"/>
      <c r="E155" s="70"/>
      <c r="F155" s="70"/>
      <c r="G155" s="70"/>
      <c r="H155" s="70"/>
      <c r="I155" s="70"/>
      <c r="J155" s="64"/>
      <c r="K155" s="64"/>
      <c r="L155" s="64"/>
      <c r="M155" s="64"/>
      <c r="N155" s="64"/>
    </row>
    <row r="156" spans="1:14" x14ac:dyDescent="0.2">
      <c r="A156" s="66"/>
      <c r="B156" s="67"/>
      <c r="C156" s="68"/>
      <c r="D156" s="69"/>
      <c r="E156" s="70"/>
      <c r="F156" s="70"/>
      <c r="G156" s="70"/>
      <c r="H156" s="70"/>
      <c r="I156" s="70"/>
      <c r="J156" s="64"/>
      <c r="K156" s="64"/>
      <c r="L156" s="64"/>
      <c r="M156" s="64"/>
      <c r="N156" s="64"/>
    </row>
    <row r="157" spans="1:14" x14ac:dyDescent="0.2">
      <c r="A157" s="66"/>
      <c r="B157" s="67"/>
      <c r="C157" s="68"/>
      <c r="D157" s="69"/>
      <c r="E157" s="70"/>
      <c r="F157" s="70"/>
      <c r="G157" s="70"/>
      <c r="H157" s="70"/>
      <c r="I157" s="70"/>
      <c r="J157" s="64"/>
      <c r="K157" s="64"/>
      <c r="L157" s="64"/>
      <c r="M157" s="64"/>
      <c r="N157" s="64"/>
    </row>
    <row r="158" spans="1:14" x14ac:dyDescent="0.2">
      <c r="A158" s="66"/>
      <c r="B158" s="67"/>
      <c r="C158" s="68"/>
      <c r="D158" s="69"/>
      <c r="E158" s="70"/>
      <c r="F158" s="70"/>
      <c r="G158" s="70"/>
      <c r="H158" s="70"/>
      <c r="I158" s="70"/>
      <c r="J158" s="64"/>
      <c r="K158" s="64"/>
      <c r="L158" s="64"/>
      <c r="M158" s="64"/>
      <c r="N158" s="64"/>
    </row>
    <row r="159" spans="1:14" x14ac:dyDescent="0.2">
      <c r="A159" s="66"/>
      <c r="B159" s="67"/>
      <c r="C159" s="68"/>
      <c r="D159" s="69"/>
      <c r="E159" s="70"/>
      <c r="F159" s="70"/>
      <c r="G159" s="70"/>
      <c r="H159" s="70"/>
      <c r="I159" s="71"/>
      <c r="J159" s="64"/>
      <c r="K159" s="64"/>
      <c r="L159" s="64"/>
      <c r="M159" s="64"/>
      <c r="N159" s="64"/>
    </row>
    <row r="160" spans="1:14" x14ac:dyDescent="0.2">
      <c r="A160" s="66"/>
      <c r="B160" s="67"/>
      <c r="C160" s="68"/>
      <c r="D160" s="68"/>
      <c r="E160" s="76"/>
      <c r="F160" s="76"/>
      <c r="G160" s="76"/>
      <c r="H160" s="71"/>
      <c r="I160" s="71"/>
      <c r="J160" s="64"/>
      <c r="K160" s="64"/>
      <c r="L160" s="64"/>
      <c r="M160" s="64"/>
      <c r="N160" s="64"/>
    </row>
    <row r="161" spans="1:14" x14ac:dyDescent="0.2">
      <c r="A161" s="66"/>
      <c r="B161" s="67"/>
      <c r="C161" s="68"/>
      <c r="D161" s="72"/>
      <c r="E161" s="70"/>
      <c r="F161" s="70"/>
      <c r="G161" s="70"/>
      <c r="H161" s="70"/>
      <c r="I161" s="70"/>
      <c r="J161" s="64"/>
      <c r="K161" s="64"/>
      <c r="L161" s="64"/>
      <c r="M161" s="64"/>
      <c r="N161" s="64"/>
    </row>
    <row r="162" spans="1:14" x14ac:dyDescent="0.2">
      <c r="A162" s="66"/>
      <c r="B162" s="67"/>
      <c r="C162" s="68"/>
      <c r="D162" s="72"/>
      <c r="E162" s="70"/>
      <c r="F162" s="70"/>
      <c r="G162" s="70"/>
      <c r="H162" s="70"/>
      <c r="I162" s="70"/>
      <c r="J162" s="64"/>
      <c r="K162" s="64"/>
      <c r="L162" s="64"/>
      <c r="M162" s="64"/>
      <c r="N162" s="64"/>
    </row>
    <row r="163" spans="1:14" x14ac:dyDescent="0.2">
      <c r="A163" s="66"/>
      <c r="B163" s="67"/>
      <c r="C163" s="68"/>
      <c r="D163" s="72"/>
      <c r="E163" s="70"/>
      <c r="F163" s="70"/>
      <c r="G163" s="70"/>
      <c r="H163" s="70"/>
      <c r="I163" s="70"/>
      <c r="J163" s="64"/>
      <c r="K163" s="64"/>
      <c r="L163" s="64"/>
      <c r="M163" s="64"/>
      <c r="N163" s="64"/>
    </row>
    <row r="164" spans="1:14" x14ac:dyDescent="0.2">
      <c r="A164" s="66"/>
      <c r="B164" s="67"/>
      <c r="C164" s="68"/>
      <c r="D164" s="72"/>
      <c r="E164" s="70"/>
      <c r="F164" s="70"/>
      <c r="G164" s="70"/>
      <c r="H164" s="70"/>
      <c r="I164" s="70"/>
      <c r="J164" s="64"/>
      <c r="K164" s="64"/>
      <c r="L164" s="64"/>
      <c r="M164" s="64"/>
      <c r="N164" s="64"/>
    </row>
    <row r="165" spans="1:14" x14ac:dyDescent="0.2">
      <c r="A165" s="66"/>
      <c r="B165" s="67"/>
      <c r="C165" s="68"/>
      <c r="D165" s="72"/>
      <c r="E165" s="70"/>
      <c r="F165" s="70"/>
      <c r="G165" s="70"/>
      <c r="H165" s="70"/>
      <c r="I165" s="70"/>
      <c r="J165" s="64"/>
      <c r="K165" s="64"/>
      <c r="L165" s="64"/>
      <c r="M165" s="64"/>
      <c r="N165" s="64"/>
    </row>
    <row r="166" spans="1:14" x14ac:dyDescent="0.2">
      <c r="A166" s="66"/>
      <c r="B166" s="67"/>
      <c r="C166" s="68"/>
      <c r="D166" s="72"/>
      <c r="E166" s="70"/>
      <c r="F166" s="70"/>
      <c r="G166" s="70"/>
      <c r="H166" s="70"/>
      <c r="I166" s="70"/>
      <c r="J166" s="64"/>
      <c r="K166" s="64"/>
      <c r="L166" s="64"/>
      <c r="M166" s="64"/>
      <c r="N166" s="64"/>
    </row>
    <row r="167" spans="1:14" x14ac:dyDescent="0.2">
      <c r="A167" s="66"/>
      <c r="B167" s="67"/>
      <c r="C167" s="68"/>
      <c r="D167" s="69"/>
      <c r="E167" s="70"/>
      <c r="F167" s="70"/>
      <c r="G167" s="70"/>
      <c r="H167" s="70"/>
      <c r="I167" s="70"/>
      <c r="J167" s="64"/>
      <c r="K167" s="64"/>
      <c r="L167" s="64"/>
      <c r="M167" s="64"/>
      <c r="N167" s="64"/>
    </row>
    <row r="168" spans="1:14" x14ac:dyDescent="0.2">
      <c r="A168" s="66"/>
      <c r="B168" s="67"/>
      <c r="C168" s="68"/>
      <c r="D168" s="69"/>
      <c r="E168" s="70"/>
      <c r="F168" s="70"/>
      <c r="G168" s="70"/>
      <c r="H168" s="70"/>
      <c r="I168" s="70"/>
      <c r="J168" s="64"/>
      <c r="K168" s="64"/>
      <c r="L168" s="64"/>
      <c r="M168" s="64"/>
      <c r="N168" s="64"/>
    </row>
    <row r="169" spans="1:14" x14ac:dyDescent="0.2">
      <c r="A169" s="66"/>
      <c r="B169" s="67"/>
      <c r="C169" s="68"/>
      <c r="D169" s="69"/>
      <c r="E169" s="70"/>
      <c r="F169" s="70"/>
      <c r="G169" s="70"/>
      <c r="H169" s="70"/>
      <c r="I169" s="70"/>
      <c r="J169" s="64"/>
      <c r="K169" s="64"/>
      <c r="L169" s="64"/>
      <c r="M169" s="64"/>
      <c r="N169" s="64"/>
    </row>
    <row r="170" spans="1:14" x14ac:dyDescent="0.2">
      <c r="A170" s="66"/>
      <c r="B170" s="67"/>
      <c r="C170" s="68"/>
      <c r="D170" s="69"/>
      <c r="E170" s="70"/>
      <c r="F170" s="70"/>
      <c r="G170" s="70"/>
      <c r="H170" s="70"/>
      <c r="I170" s="70"/>
      <c r="J170" s="64"/>
      <c r="K170" s="64"/>
      <c r="L170" s="64"/>
      <c r="M170" s="64"/>
      <c r="N170" s="64"/>
    </row>
    <row r="171" spans="1:14" x14ac:dyDescent="0.2">
      <c r="A171" s="66"/>
      <c r="B171" s="67"/>
      <c r="C171" s="68"/>
      <c r="D171" s="69"/>
      <c r="E171" s="70"/>
      <c r="F171" s="70"/>
      <c r="G171" s="70"/>
      <c r="H171" s="70"/>
      <c r="I171" s="70"/>
      <c r="J171" s="64"/>
      <c r="K171" s="64"/>
      <c r="L171" s="64"/>
      <c r="M171" s="64"/>
      <c r="N171" s="64"/>
    </row>
    <row r="172" spans="1:14" x14ac:dyDescent="0.2">
      <c r="A172" s="66"/>
      <c r="B172" s="67"/>
      <c r="C172" s="68"/>
      <c r="D172" s="69"/>
      <c r="E172" s="70"/>
      <c r="F172" s="70"/>
      <c r="G172" s="70"/>
      <c r="H172" s="70"/>
      <c r="I172" s="70"/>
      <c r="J172" s="64"/>
      <c r="K172" s="64"/>
      <c r="L172" s="64"/>
      <c r="M172" s="64"/>
      <c r="N172" s="64"/>
    </row>
    <row r="173" spans="1:14" x14ac:dyDescent="0.2">
      <c r="A173" s="66"/>
      <c r="B173" s="67"/>
      <c r="C173" s="68"/>
      <c r="D173" s="69"/>
      <c r="E173" s="70"/>
      <c r="F173" s="70"/>
      <c r="G173" s="70"/>
      <c r="H173" s="70"/>
      <c r="I173" s="70"/>
      <c r="J173" s="64"/>
      <c r="K173" s="64"/>
      <c r="L173" s="64"/>
      <c r="M173" s="64"/>
      <c r="N173" s="64"/>
    </row>
    <row r="174" spans="1:14" x14ac:dyDescent="0.2">
      <c r="A174" s="66"/>
      <c r="B174" s="67"/>
      <c r="C174" s="68"/>
      <c r="D174" s="69"/>
      <c r="E174" s="70"/>
      <c r="F174" s="70"/>
      <c r="G174" s="70"/>
      <c r="H174" s="70"/>
      <c r="I174" s="71"/>
      <c r="J174" s="64"/>
      <c r="K174" s="64"/>
      <c r="L174" s="64"/>
      <c r="M174" s="64"/>
      <c r="N174" s="64"/>
    </row>
    <row r="175" spans="1:14" x14ac:dyDescent="0.2">
      <c r="A175" s="66"/>
      <c r="B175" s="67"/>
      <c r="C175" s="68"/>
      <c r="D175" s="68"/>
      <c r="E175" s="76"/>
      <c r="F175" s="76"/>
      <c r="G175" s="76"/>
      <c r="H175" s="71"/>
      <c r="I175" s="71"/>
      <c r="J175" s="64"/>
      <c r="K175" s="64"/>
      <c r="L175" s="64"/>
      <c r="M175" s="64"/>
      <c r="N175" s="64"/>
    </row>
    <row r="176" spans="1:14" x14ac:dyDescent="0.2">
      <c r="A176" s="66"/>
      <c r="B176" s="67"/>
      <c r="C176" s="68"/>
      <c r="D176" s="72"/>
      <c r="E176" s="70"/>
      <c r="F176" s="70"/>
      <c r="G176" s="70"/>
      <c r="H176" s="70"/>
      <c r="I176" s="70"/>
      <c r="J176" s="64"/>
      <c r="K176" s="64"/>
      <c r="L176" s="64"/>
      <c r="M176" s="64"/>
      <c r="N176" s="64"/>
    </row>
    <row r="177" spans="1:14" x14ac:dyDescent="0.2">
      <c r="A177" s="66"/>
      <c r="B177" s="67"/>
      <c r="C177" s="68"/>
      <c r="D177" s="72"/>
      <c r="E177" s="70"/>
      <c r="F177" s="70"/>
      <c r="G177" s="70"/>
      <c r="H177" s="70"/>
      <c r="I177" s="70"/>
      <c r="J177" s="64"/>
      <c r="K177" s="64"/>
      <c r="L177" s="64"/>
      <c r="M177" s="64"/>
      <c r="N177" s="64"/>
    </row>
    <row r="178" spans="1:14" x14ac:dyDescent="0.2">
      <c r="A178" s="66"/>
      <c r="B178" s="67"/>
      <c r="C178" s="68"/>
      <c r="D178" s="72"/>
      <c r="E178" s="70"/>
      <c r="F178" s="70"/>
      <c r="G178" s="70"/>
      <c r="H178" s="70"/>
      <c r="I178" s="70"/>
      <c r="J178" s="64"/>
      <c r="K178" s="64"/>
      <c r="L178" s="64"/>
      <c r="M178" s="64"/>
      <c r="N178" s="64"/>
    </row>
    <row r="179" spans="1:14" x14ac:dyDescent="0.2">
      <c r="A179" s="66"/>
      <c r="B179" s="67"/>
      <c r="C179" s="68"/>
      <c r="D179" s="72"/>
      <c r="E179" s="70"/>
      <c r="F179" s="70"/>
      <c r="G179" s="70"/>
      <c r="H179" s="70"/>
      <c r="I179" s="70"/>
      <c r="J179" s="64"/>
      <c r="K179" s="64"/>
      <c r="L179" s="64"/>
      <c r="M179" s="64"/>
      <c r="N179" s="64"/>
    </row>
    <row r="180" spans="1:14" x14ac:dyDescent="0.2">
      <c r="A180" s="66"/>
      <c r="B180" s="67"/>
      <c r="C180" s="68"/>
      <c r="D180" s="72"/>
      <c r="E180" s="70"/>
      <c r="F180" s="70"/>
      <c r="G180" s="70"/>
      <c r="H180" s="70"/>
      <c r="I180" s="70"/>
      <c r="J180" s="64"/>
      <c r="K180" s="64"/>
      <c r="L180" s="64"/>
      <c r="M180" s="64"/>
      <c r="N180" s="64"/>
    </row>
    <row r="181" spans="1:14" x14ac:dyDescent="0.2">
      <c r="A181" s="66"/>
      <c r="B181" s="67"/>
      <c r="C181" s="68"/>
      <c r="D181" s="72"/>
      <c r="E181" s="70"/>
      <c r="F181" s="70"/>
      <c r="G181" s="70"/>
      <c r="H181" s="70"/>
      <c r="I181" s="70"/>
      <c r="J181" s="64"/>
      <c r="K181" s="64"/>
      <c r="L181" s="64"/>
      <c r="M181" s="64"/>
      <c r="N181" s="64"/>
    </row>
    <row r="182" spans="1:14" x14ac:dyDescent="0.2">
      <c r="A182" s="66"/>
      <c r="B182" s="67"/>
      <c r="C182" s="68"/>
      <c r="D182" s="69"/>
      <c r="E182" s="70"/>
      <c r="F182" s="70"/>
      <c r="G182" s="70"/>
      <c r="H182" s="70"/>
      <c r="I182" s="70"/>
      <c r="J182" s="64"/>
      <c r="K182" s="64"/>
      <c r="L182" s="64"/>
      <c r="M182" s="64"/>
      <c r="N182" s="64"/>
    </row>
    <row r="183" spans="1:14" x14ac:dyDescent="0.2">
      <c r="A183" s="66"/>
      <c r="B183" s="67"/>
      <c r="C183" s="68"/>
      <c r="D183" s="69"/>
      <c r="E183" s="70"/>
      <c r="F183" s="70"/>
      <c r="G183" s="70"/>
      <c r="H183" s="70"/>
      <c r="I183" s="70"/>
      <c r="J183" s="64"/>
      <c r="K183" s="64"/>
      <c r="L183" s="64"/>
      <c r="M183" s="64"/>
      <c r="N183" s="64"/>
    </row>
    <row r="184" spans="1:14" x14ac:dyDescent="0.2">
      <c r="A184" s="66"/>
      <c r="B184" s="67"/>
      <c r="C184" s="68"/>
      <c r="D184" s="69"/>
      <c r="E184" s="70"/>
      <c r="F184" s="70"/>
      <c r="G184" s="70"/>
      <c r="H184" s="70"/>
      <c r="I184" s="70"/>
      <c r="J184" s="64"/>
      <c r="K184" s="64"/>
      <c r="L184" s="64"/>
      <c r="M184" s="64"/>
      <c r="N184" s="64"/>
    </row>
    <row r="185" spans="1:14" x14ac:dyDescent="0.2">
      <c r="A185" s="66"/>
      <c r="B185" s="67"/>
      <c r="C185" s="68"/>
      <c r="D185" s="69"/>
      <c r="E185" s="70"/>
      <c r="F185" s="70"/>
      <c r="G185" s="70"/>
      <c r="H185" s="70"/>
      <c r="I185" s="70"/>
      <c r="J185" s="64"/>
      <c r="K185" s="64"/>
      <c r="L185" s="64"/>
      <c r="M185" s="64"/>
      <c r="N185" s="64"/>
    </row>
    <row r="186" spans="1:14" x14ac:dyDescent="0.2">
      <c r="A186" s="66"/>
      <c r="B186" s="67"/>
      <c r="C186" s="68"/>
      <c r="D186" s="69"/>
      <c r="E186" s="70"/>
      <c r="F186" s="70"/>
      <c r="G186" s="70"/>
      <c r="H186" s="70"/>
      <c r="I186" s="70"/>
      <c r="J186" s="64"/>
      <c r="K186" s="64"/>
      <c r="L186" s="64"/>
      <c r="M186" s="64"/>
      <c r="N186" s="64"/>
    </row>
    <row r="187" spans="1:14" x14ac:dyDescent="0.2">
      <c r="A187" s="66"/>
      <c r="B187" s="67"/>
      <c r="C187" s="68"/>
      <c r="D187" s="69"/>
      <c r="E187" s="70"/>
      <c r="F187" s="70"/>
      <c r="G187" s="70"/>
      <c r="H187" s="70"/>
      <c r="I187" s="70"/>
      <c r="J187" s="64"/>
      <c r="K187" s="64"/>
      <c r="L187" s="64"/>
      <c r="M187" s="64"/>
      <c r="N187" s="64"/>
    </row>
    <row r="188" spans="1:14" x14ac:dyDescent="0.2">
      <c r="A188" s="66"/>
      <c r="B188" s="67"/>
      <c r="C188" s="68"/>
      <c r="D188" s="69"/>
      <c r="E188" s="70"/>
      <c r="F188" s="70"/>
      <c r="G188" s="70"/>
      <c r="H188" s="70"/>
      <c r="I188" s="70"/>
      <c r="J188" s="64"/>
      <c r="K188" s="64"/>
      <c r="L188" s="64"/>
      <c r="M188" s="64"/>
      <c r="N188" s="64"/>
    </row>
    <row r="189" spans="1:14" x14ac:dyDescent="0.2">
      <c r="A189" s="66"/>
      <c r="B189" s="67"/>
      <c r="C189" s="68"/>
      <c r="D189" s="69"/>
      <c r="E189" s="70"/>
      <c r="F189" s="70"/>
      <c r="G189" s="70"/>
      <c r="H189" s="70"/>
      <c r="I189" s="71"/>
      <c r="J189" s="64"/>
      <c r="K189" s="64"/>
      <c r="L189" s="64"/>
      <c r="M189" s="64"/>
      <c r="N189" s="64"/>
    </row>
    <row r="190" spans="1:14" x14ac:dyDescent="0.2">
      <c r="A190" s="66"/>
      <c r="B190" s="67"/>
      <c r="C190" s="68"/>
      <c r="D190" s="68"/>
      <c r="E190" s="76"/>
      <c r="F190" s="76"/>
      <c r="G190" s="76"/>
      <c r="H190" s="71"/>
      <c r="I190" s="71"/>
      <c r="J190" s="64"/>
      <c r="K190" s="64"/>
      <c r="L190" s="64"/>
      <c r="M190" s="64"/>
      <c r="N190" s="64"/>
    </row>
    <row r="191" spans="1:14" x14ac:dyDescent="0.2">
      <c r="A191" s="66"/>
      <c r="B191" s="67"/>
      <c r="C191" s="68"/>
      <c r="D191" s="72"/>
      <c r="E191" s="70"/>
      <c r="F191" s="70"/>
      <c r="G191" s="70"/>
      <c r="H191" s="70"/>
      <c r="I191" s="70"/>
      <c r="J191" s="64"/>
      <c r="K191" s="64"/>
      <c r="L191" s="64"/>
      <c r="M191" s="64"/>
      <c r="N191" s="64"/>
    </row>
    <row r="192" spans="1:14" x14ac:dyDescent="0.2">
      <c r="A192" s="66"/>
      <c r="B192" s="67"/>
      <c r="C192" s="68"/>
      <c r="D192" s="72"/>
      <c r="E192" s="70"/>
      <c r="F192" s="70"/>
      <c r="G192" s="70"/>
      <c r="H192" s="70"/>
      <c r="I192" s="70"/>
      <c r="J192" s="64"/>
      <c r="K192" s="64"/>
      <c r="L192" s="64"/>
      <c r="M192" s="64"/>
      <c r="N192" s="64"/>
    </row>
    <row r="193" spans="1:14" x14ac:dyDescent="0.2">
      <c r="A193" s="66"/>
      <c r="B193" s="67"/>
      <c r="C193" s="68"/>
      <c r="D193" s="72"/>
      <c r="E193" s="70"/>
      <c r="F193" s="70"/>
      <c r="G193" s="70"/>
      <c r="H193" s="70"/>
      <c r="I193" s="70"/>
      <c r="J193" s="64"/>
      <c r="K193" s="64"/>
      <c r="L193" s="64"/>
      <c r="M193" s="64"/>
      <c r="N193" s="64"/>
    </row>
    <row r="194" spans="1:14" x14ac:dyDescent="0.2">
      <c r="A194" s="66"/>
      <c r="B194" s="67"/>
      <c r="C194" s="68"/>
      <c r="D194" s="72"/>
      <c r="E194" s="70"/>
      <c r="F194" s="70"/>
      <c r="G194" s="70"/>
      <c r="H194" s="70"/>
      <c r="I194" s="70"/>
      <c r="J194" s="64"/>
      <c r="K194" s="64"/>
      <c r="L194" s="64"/>
      <c r="M194" s="64"/>
      <c r="N194" s="64"/>
    </row>
    <row r="195" spans="1:14" x14ac:dyDescent="0.2">
      <c r="A195" s="66"/>
      <c r="B195" s="67"/>
      <c r="C195" s="68"/>
      <c r="D195" s="72"/>
      <c r="E195" s="70"/>
      <c r="F195" s="70"/>
      <c r="G195" s="70"/>
      <c r="H195" s="70"/>
      <c r="I195" s="70"/>
      <c r="J195" s="64"/>
      <c r="K195" s="64"/>
      <c r="L195" s="64"/>
      <c r="M195" s="64"/>
      <c r="N195" s="64"/>
    </row>
    <row r="196" spans="1:14" x14ac:dyDescent="0.2">
      <c r="A196" s="66"/>
      <c r="B196" s="67"/>
      <c r="C196" s="68"/>
      <c r="D196" s="72"/>
      <c r="E196" s="70"/>
      <c r="F196" s="70"/>
      <c r="G196" s="70"/>
      <c r="H196" s="70"/>
      <c r="I196" s="70"/>
      <c r="J196" s="64"/>
      <c r="K196" s="64"/>
      <c r="L196" s="64"/>
      <c r="M196" s="64"/>
      <c r="N196" s="64"/>
    </row>
    <row r="197" spans="1:14" x14ac:dyDescent="0.2">
      <c r="A197" s="66"/>
      <c r="B197" s="67"/>
      <c r="C197" s="68"/>
      <c r="D197" s="69"/>
      <c r="E197" s="70"/>
      <c r="F197" s="70"/>
      <c r="G197" s="70"/>
      <c r="H197" s="70"/>
      <c r="I197" s="70"/>
      <c r="J197" s="64"/>
      <c r="K197" s="64"/>
      <c r="L197" s="64"/>
      <c r="M197" s="64"/>
      <c r="N197" s="64"/>
    </row>
    <row r="198" spans="1:14" x14ac:dyDescent="0.2">
      <c r="A198" s="66"/>
      <c r="B198" s="67"/>
      <c r="C198" s="68"/>
      <c r="D198" s="69"/>
      <c r="E198" s="70"/>
      <c r="F198" s="70"/>
      <c r="G198" s="70"/>
      <c r="H198" s="70"/>
      <c r="I198" s="70"/>
      <c r="J198" s="64"/>
      <c r="K198" s="64"/>
      <c r="L198" s="64"/>
      <c r="M198" s="64"/>
      <c r="N198" s="64"/>
    </row>
    <row r="199" spans="1:14" x14ac:dyDescent="0.2">
      <c r="A199" s="66"/>
      <c r="B199" s="67"/>
      <c r="C199" s="68"/>
      <c r="D199" s="69"/>
      <c r="E199" s="70"/>
      <c r="F199" s="70"/>
      <c r="G199" s="70"/>
      <c r="H199" s="70"/>
      <c r="I199" s="70"/>
      <c r="J199" s="64"/>
      <c r="K199" s="64"/>
      <c r="L199" s="64"/>
      <c r="M199" s="64"/>
      <c r="N199" s="64"/>
    </row>
    <row r="200" spans="1:14" x14ac:dyDescent="0.2">
      <c r="A200" s="66"/>
      <c r="B200" s="67"/>
      <c r="C200" s="68"/>
      <c r="D200" s="69"/>
      <c r="E200" s="70"/>
      <c r="F200" s="70"/>
      <c r="G200" s="70"/>
      <c r="H200" s="70"/>
      <c r="I200" s="70"/>
      <c r="J200" s="64"/>
      <c r="K200" s="64"/>
      <c r="L200" s="64"/>
      <c r="M200" s="64"/>
      <c r="N200" s="64"/>
    </row>
    <row r="201" spans="1:14" x14ac:dyDescent="0.2">
      <c r="A201" s="66"/>
      <c r="B201" s="67"/>
      <c r="C201" s="68"/>
      <c r="D201" s="69"/>
      <c r="E201" s="70"/>
      <c r="F201" s="70"/>
      <c r="G201" s="70"/>
      <c r="H201" s="70"/>
      <c r="I201" s="70"/>
      <c r="J201" s="64"/>
      <c r="K201" s="64"/>
      <c r="L201" s="64"/>
      <c r="M201" s="64"/>
      <c r="N201" s="64"/>
    </row>
    <row r="202" spans="1:14" x14ac:dyDescent="0.2">
      <c r="A202" s="66"/>
      <c r="B202" s="67"/>
      <c r="C202" s="68"/>
      <c r="D202" s="69"/>
      <c r="E202" s="70"/>
      <c r="F202" s="70"/>
      <c r="G202" s="70"/>
      <c r="H202" s="70"/>
      <c r="I202" s="70"/>
      <c r="J202" s="64"/>
      <c r="K202" s="64"/>
      <c r="L202" s="64"/>
      <c r="M202" s="64"/>
      <c r="N202" s="64"/>
    </row>
    <row r="203" spans="1:14" x14ac:dyDescent="0.2">
      <c r="A203" s="66"/>
      <c r="B203" s="67"/>
      <c r="C203" s="68"/>
      <c r="D203" s="69"/>
      <c r="E203" s="70"/>
      <c r="F203" s="70"/>
      <c r="G203" s="70"/>
      <c r="H203" s="70"/>
      <c r="I203" s="70"/>
      <c r="J203" s="64"/>
      <c r="K203" s="64"/>
      <c r="L203" s="64"/>
      <c r="M203" s="64"/>
      <c r="N203" s="64"/>
    </row>
    <row r="204" spans="1:14" x14ac:dyDescent="0.2">
      <c r="A204" s="66"/>
      <c r="B204" s="67"/>
      <c r="C204" s="68"/>
      <c r="D204" s="69"/>
      <c r="E204" s="70"/>
      <c r="F204" s="70"/>
      <c r="G204" s="70"/>
      <c r="H204" s="70"/>
      <c r="I204" s="70"/>
      <c r="J204" s="64"/>
      <c r="K204" s="64"/>
      <c r="L204" s="64"/>
      <c r="M204" s="64"/>
      <c r="N204" s="64"/>
    </row>
    <row r="205" spans="1:14" x14ac:dyDescent="0.2">
      <c r="A205" s="66"/>
      <c r="B205" s="67"/>
      <c r="C205" s="68"/>
      <c r="D205" s="69"/>
      <c r="E205" s="70"/>
      <c r="F205" s="70"/>
      <c r="G205" s="70"/>
      <c r="H205" s="70"/>
      <c r="I205" s="71"/>
      <c r="J205" s="64"/>
      <c r="K205" s="64"/>
      <c r="L205" s="64"/>
      <c r="M205" s="64"/>
      <c r="N205" s="64"/>
    </row>
    <row r="206" spans="1:14" x14ac:dyDescent="0.2">
      <c r="A206" s="66"/>
      <c r="B206" s="67"/>
      <c r="C206" s="68"/>
      <c r="D206" s="69"/>
      <c r="E206" s="70"/>
      <c r="F206" s="70"/>
      <c r="G206" s="70"/>
      <c r="H206" s="70"/>
      <c r="I206" s="70"/>
      <c r="J206" s="64"/>
      <c r="K206" s="64"/>
      <c r="L206" s="64"/>
      <c r="M206" s="64"/>
      <c r="N206" s="64"/>
    </row>
    <row r="207" spans="1:14" x14ac:dyDescent="0.2">
      <c r="A207" s="66"/>
      <c r="B207" s="67"/>
      <c r="C207" s="71"/>
      <c r="D207" s="71"/>
      <c r="E207" s="70"/>
      <c r="F207" s="70"/>
      <c r="G207" s="70"/>
      <c r="H207" s="70"/>
      <c r="I207" s="71"/>
      <c r="J207" s="64"/>
      <c r="K207" s="64"/>
      <c r="L207" s="64"/>
      <c r="M207" s="64"/>
      <c r="N207" s="64"/>
    </row>
    <row r="208" spans="1:14" x14ac:dyDescent="0.2">
      <c r="A208" s="66"/>
      <c r="B208" s="67"/>
      <c r="C208" s="71"/>
      <c r="D208" s="71"/>
      <c r="E208" s="70"/>
      <c r="F208" s="70"/>
      <c r="G208" s="70"/>
      <c r="H208" s="70"/>
      <c r="I208" s="71"/>
      <c r="J208" s="64"/>
      <c r="K208" s="64"/>
      <c r="L208" s="64"/>
      <c r="M208" s="64"/>
      <c r="N208" s="64"/>
    </row>
    <row r="209" spans="1:14" x14ac:dyDescent="0.2">
      <c r="A209" s="66"/>
      <c r="B209" s="67"/>
      <c r="C209" s="71"/>
      <c r="D209" s="71"/>
      <c r="E209" s="70"/>
      <c r="F209" s="70"/>
      <c r="G209" s="70"/>
      <c r="H209" s="70"/>
      <c r="I209" s="71"/>
      <c r="J209" s="64"/>
      <c r="K209" s="64"/>
      <c r="L209" s="64"/>
      <c r="M209" s="64"/>
      <c r="N209" s="64"/>
    </row>
    <row r="210" spans="1:14" x14ac:dyDescent="0.2">
      <c r="A210" s="66"/>
      <c r="B210" s="67"/>
      <c r="C210" s="68"/>
      <c r="D210" s="68"/>
      <c r="E210" s="70"/>
      <c r="F210" s="70"/>
      <c r="G210" s="70"/>
      <c r="H210" s="70"/>
      <c r="I210" s="70"/>
      <c r="J210" s="64"/>
      <c r="K210" s="64"/>
      <c r="L210" s="64"/>
      <c r="M210" s="64"/>
      <c r="N210" s="64"/>
    </row>
    <row r="211" spans="1:14" x14ac:dyDescent="0.2">
      <c r="A211" s="66"/>
      <c r="B211" s="67"/>
      <c r="C211" s="71"/>
      <c r="D211" s="71"/>
      <c r="E211" s="70"/>
      <c r="F211" s="70"/>
      <c r="G211" s="70"/>
      <c r="H211" s="70"/>
      <c r="I211" s="71"/>
      <c r="J211" s="64"/>
      <c r="K211" s="64"/>
      <c r="L211" s="64"/>
      <c r="M211" s="64"/>
      <c r="N211" s="64"/>
    </row>
    <row r="212" spans="1:14" x14ac:dyDescent="0.2">
      <c r="A212" s="66"/>
      <c r="B212" s="67"/>
      <c r="C212" s="68"/>
      <c r="D212" s="69"/>
      <c r="E212" s="70"/>
      <c r="F212" s="70"/>
      <c r="G212" s="70"/>
      <c r="H212" s="70"/>
      <c r="I212" s="70"/>
      <c r="J212" s="64"/>
      <c r="K212" s="64"/>
      <c r="L212" s="64"/>
      <c r="M212" s="64"/>
      <c r="N212" s="64"/>
    </row>
    <row r="213" spans="1:14" x14ac:dyDescent="0.2">
      <c r="A213" s="66"/>
      <c r="B213" s="67"/>
      <c r="C213" s="68"/>
      <c r="D213" s="69"/>
      <c r="E213" s="70"/>
      <c r="F213" s="70"/>
      <c r="G213" s="70"/>
      <c r="H213" s="70"/>
      <c r="I213" s="71"/>
      <c r="J213" s="64"/>
      <c r="K213" s="64"/>
      <c r="L213" s="64"/>
      <c r="M213" s="64"/>
      <c r="N213" s="64"/>
    </row>
    <row r="214" spans="1:14" x14ac:dyDescent="0.2">
      <c r="A214" s="66"/>
      <c r="B214" s="67"/>
      <c r="C214" s="68"/>
      <c r="D214" s="69"/>
      <c r="E214" s="70"/>
      <c r="F214" s="70"/>
      <c r="G214" s="70"/>
      <c r="H214" s="70"/>
      <c r="I214" s="71"/>
      <c r="J214" s="64"/>
      <c r="K214" s="64"/>
      <c r="L214" s="64"/>
      <c r="M214" s="64"/>
      <c r="N214" s="64"/>
    </row>
    <row r="215" spans="1:14" x14ac:dyDescent="0.2">
      <c r="A215" s="66"/>
      <c r="B215" s="67"/>
      <c r="C215" s="68"/>
      <c r="D215" s="69"/>
      <c r="E215" s="70"/>
      <c r="F215" s="70"/>
      <c r="G215" s="70"/>
      <c r="H215" s="70"/>
      <c r="I215" s="71"/>
      <c r="J215" s="64"/>
      <c r="K215" s="64"/>
      <c r="L215" s="64"/>
      <c r="M215" s="64"/>
      <c r="N215" s="64"/>
    </row>
    <row r="216" spans="1:14" x14ac:dyDescent="0.2">
      <c r="A216" s="66"/>
      <c r="B216" s="67"/>
      <c r="C216" s="68"/>
      <c r="D216" s="69"/>
      <c r="E216" s="70"/>
      <c r="F216" s="70"/>
      <c r="G216" s="70"/>
      <c r="H216" s="70"/>
      <c r="I216" s="71"/>
      <c r="J216" s="64"/>
      <c r="K216" s="64"/>
      <c r="L216" s="64"/>
      <c r="M216" s="64"/>
      <c r="N216" s="64"/>
    </row>
    <row r="217" spans="1:14" x14ac:dyDescent="0.2">
      <c r="A217" s="66"/>
      <c r="B217" s="67"/>
      <c r="C217" s="68"/>
      <c r="D217" s="69"/>
      <c r="E217" s="70"/>
      <c r="F217" s="70"/>
      <c r="G217" s="70"/>
      <c r="H217" s="70"/>
      <c r="I217" s="71"/>
      <c r="J217" s="64"/>
      <c r="K217" s="64"/>
      <c r="L217" s="64"/>
      <c r="M217" s="64"/>
      <c r="N217" s="64"/>
    </row>
    <row r="218" spans="1:14" x14ac:dyDescent="0.2">
      <c r="A218" s="66"/>
      <c r="B218" s="67"/>
      <c r="C218" s="68"/>
      <c r="D218" s="69"/>
      <c r="E218" s="70"/>
      <c r="F218" s="70"/>
      <c r="G218" s="70"/>
      <c r="H218" s="70"/>
      <c r="I218" s="71"/>
      <c r="J218" s="64"/>
      <c r="K218" s="64"/>
      <c r="L218" s="64"/>
      <c r="M218" s="64"/>
      <c r="N218" s="64"/>
    </row>
    <row r="219" spans="1:14" x14ac:dyDescent="0.2">
      <c r="A219" s="66"/>
      <c r="B219" s="67"/>
      <c r="C219" s="68"/>
      <c r="D219" s="69"/>
      <c r="E219" s="70"/>
      <c r="F219" s="70"/>
      <c r="G219" s="70"/>
      <c r="H219" s="70"/>
      <c r="I219" s="71"/>
      <c r="J219" s="64"/>
      <c r="K219" s="64"/>
      <c r="L219" s="64"/>
      <c r="M219" s="64"/>
      <c r="N219" s="64"/>
    </row>
    <row r="220" spans="1:14" x14ac:dyDescent="0.2">
      <c r="A220" s="66"/>
      <c r="B220" s="67"/>
      <c r="C220" s="68"/>
      <c r="D220" s="69"/>
      <c r="E220" s="70"/>
      <c r="F220" s="70"/>
      <c r="G220" s="70"/>
      <c r="H220" s="70"/>
      <c r="I220" s="71"/>
      <c r="J220" s="64"/>
      <c r="K220" s="64"/>
      <c r="L220" s="64"/>
      <c r="M220" s="64"/>
      <c r="N220" s="64"/>
    </row>
    <row r="221" spans="1:14" x14ac:dyDescent="0.2">
      <c r="A221" s="66"/>
      <c r="B221" s="67"/>
      <c r="C221" s="68"/>
      <c r="D221" s="69"/>
      <c r="E221" s="70"/>
      <c r="F221" s="70"/>
      <c r="G221" s="70"/>
      <c r="H221" s="70"/>
      <c r="I221" s="71"/>
      <c r="J221" s="64"/>
      <c r="K221" s="64"/>
      <c r="L221" s="64"/>
      <c r="M221" s="64"/>
      <c r="N221" s="64"/>
    </row>
    <row r="222" spans="1:14" x14ac:dyDescent="0.2">
      <c r="A222" s="66"/>
      <c r="B222" s="67"/>
      <c r="C222" s="68"/>
      <c r="D222" s="69"/>
      <c r="E222" s="70"/>
      <c r="F222" s="70"/>
      <c r="G222" s="70"/>
      <c r="H222" s="70"/>
      <c r="I222" s="71"/>
      <c r="J222" s="64"/>
      <c r="K222" s="64"/>
      <c r="L222" s="64"/>
      <c r="M222" s="64"/>
      <c r="N222" s="64"/>
    </row>
    <row r="223" spans="1:14" x14ac:dyDescent="0.2">
      <c r="A223" s="66"/>
      <c r="B223" s="67"/>
      <c r="C223" s="68"/>
      <c r="D223" s="69"/>
      <c r="E223" s="70"/>
      <c r="F223" s="70"/>
      <c r="G223" s="70"/>
      <c r="H223" s="70"/>
      <c r="I223" s="70"/>
      <c r="J223" s="64"/>
      <c r="K223" s="64"/>
      <c r="L223" s="64"/>
      <c r="M223" s="64"/>
      <c r="N223" s="64"/>
    </row>
    <row r="224" spans="1:14" x14ac:dyDescent="0.2">
      <c r="A224" s="66"/>
      <c r="B224" s="67"/>
      <c r="C224" s="68"/>
      <c r="D224" s="69"/>
      <c r="E224" s="70"/>
      <c r="F224" s="70"/>
      <c r="G224" s="70"/>
      <c r="H224" s="70"/>
      <c r="I224" s="70"/>
      <c r="J224" s="64"/>
      <c r="K224" s="64"/>
      <c r="L224" s="64"/>
      <c r="M224" s="64"/>
      <c r="N224" s="64"/>
    </row>
    <row r="225" spans="1:14" x14ac:dyDescent="0.2">
      <c r="A225" s="66"/>
      <c r="B225" s="67"/>
      <c r="C225" s="68"/>
      <c r="D225" s="72"/>
      <c r="E225" s="70"/>
      <c r="F225" s="70"/>
      <c r="G225" s="70"/>
      <c r="H225" s="70"/>
      <c r="I225" s="71"/>
      <c r="J225" s="64"/>
      <c r="K225" s="64"/>
      <c r="L225" s="64"/>
      <c r="M225" s="64"/>
      <c r="N225" s="64"/>
    </row>
    <row r="226" spans="1:14" x14ac:dyDescent="0.2">
      <c r="A226" s="66"/>
      <c r="B226" s="67"/>
      <c r="C226" s="68"/>
      <c r="D226" s="72"/>
      <c r="E226" s="70"/>
      <c r="F226" s="70"/>
      <c r="G226" s="70"/>
      <c r="H226" s="70"/>
      <c r="I226" s="71"/>
      <c r="J226" s="64"/>
      <c r="K226" s="64"/>
      <c r="L226" s="64"/>
      <c r="M226" s="64"/>
      <c r="N226" s="64"/>
    </row>
    <row r="227" spans="1:14" x14ac:dyDescent="0.2">
      <c r="A227" s="66"/>
      <c r="B227" s="67"/>
      <c r="C227" s="68"/>
      <c r="D227" s="72"/>
      <c r="E227" s="70"/>
      <c r="F227" s="70"/>
      <c r="G227" s="70"/>
      <c r="H227" s="70"/>
      <c r="I227" s="71"/>
      <c r="J227" s="64"/>
      <c r="K227" s="64"/>
      <c r="L227" s="64"/>
      <c r="M227" s="64"/>
      <c r="N227" s="64"/>
    </row>
    <row r="228" spans="1:14" x14ac:dyDescent="0.2">
      <c r="A228" s="66"/>
      <c r="B228" s="67"/>
      <c r="C228" s="68"/>
      <c r="D228" s="77"/>
      <c r="E228" s="70"/>
      <c r="F228" s="70"/>
      <c r="G228" s="70"/>
      <c r="H228" s="70"/>
      <c r="I228" s="71"/>
      <c r="J228" s="64"/>
      <c r="K228" s="64"/>
      <c r="L228" s="64"/>
      <c r="M228" s="64"/>
      <c r="N228" s="64"/>
    </row>
    <row r="229" spans="1:14" x14ac:dyDescent="0.2">
      <c r="A229" s="66"/>
      <c r="B229" s="67"/>
      <c r="C229" s="68"/>
      <c r="D229" s="77"/>
      <c r="E229" s="70"/>
      <c r="F229" s="70"/>
      <c r="G229" s="70"/>
      <c r="H229" s="70"/>
      <c r="I229" s="71"/>
      <c r="J229" s="64"/>
      <c r="K229" s="64"/>
      <c r="L229" s="64"/>
      <c r="M229" s="64"/>
      <c r="N229" s="64"/>
    </row>
    <row r="230" spans="1:14" x14ac:dyDescent="0.2">
      <c r="A230" s="66"/>
      <c r="B230" s="67"/>
      <c r="C230" s="68"/>
      <c r="D230" s="77"/>
      <c r="E230" s="70"/>
      <c r="F230" s="70"/>
      <c r="G230" s="70"/>
      <c r="H230" s="70"/>
      <c r="I230" s="71"/>
      <c r="J230" s="64"/>
      <c r="K230" s="64"/>
      <c r="L230" s="64"/>
      <c r="M230" s="64"/>
      <c r="N230" s="64"/>
    </row>
    <row r="231" spans="1:14" x14ac:dyDescent="0.2">
      <c r="A231" s="66"/>
      <c r="B231" s="67"/>
      <c r="C231" s="68"/>
      <c r="D231" s="69"/>
      <c r="E231" s="70"/>
      <c r="F231" s="70"/>
      <c r="G231" s="70"/>
      <c r="H231" s="70"/>
      <c r="I231" s="71"/>
      <c r="J231" s="64"/>
      <c r="K231" s="64"/>
      <c r="L231" s="64"/>
      <c r="M231" s="64"/>
      <c r="N231" s="64"/>
    </row>
    <row r="232" spans="1:14" x14ac:dyDescent="0.2">
      <c r="A232" s="66"/>
      <c r="B232" s="67"/>
      <c r="C232" s="68"/>
      <c r="D232" s="69"/>
      <c r="E232" s="70"/>
      <c r="F232" s="70"/>
      <c r="G232" s="70"/>
      <c r="H232" s="70"/>
      <c r="I232" s="71"/>
      <c r="J232" s="64"/>
      <c r="K232" s="64"/>
      <c r="L232" s="64"/>
      <c r="M232" s="64"/>
      <c r="N232" s="64"/>
    </row>
    <row r="233" spans="1:14" x14ac:dyDescent="0.2">
      <c r="A233" s="66"/>
      <c r="B233" s="67"/>
      <c r="C233" s="68"/>
      <c r="D233" s="69"/>
      <c r="E233" s="70"/>
      <c r="F233" s="70"/>
      <c r="G233" s="70"/>
      <c r="H233" s="70"/>
      <c r="I233" s="70"/>
      <c r="J233" s="64"/>
      <c r="K233" s="64"/>
      <c r="L233" s="64"/>
      <c r="M233" s="64"/>
      <c r="N233" s="64"/>
    </row>
    <row r="234" spans="1:14" x14ac:dyDescent="0.2">
      <c r="A234" s="66"/>
      <c r="B234" s="67"/>
      <c r="C234" s="68"/>
      <c r="D234" s="69"/>
      <c r="E234" s="70"/>
      <c r="F234" s="70"/>
      <c r="G234" s="70"/>
      <c r="H234" s="70"/>
      <c r="I234" s="70"/>
      <c r="J234" s="64"/>
      <c r="K234" s="64"/>
      <c r="L234" s="64"/>
      <c r="M234" s="64"/>
      <c r="N234" s="64"/>
    </row>
    <row r="235" spans="1:14" x14ac:dyDescent="0.2">
      <c r="A235" s="66"/>
      <c r="B235" s="67"/>
      <c r="C235" s="68"/>
      <c r="D235" s="69"/>
      <c r="E235" s="70"/>
      <c r="F235" s="70"/>
      <c r="G235" s="70"/>
      <c r="H235" s="70"/>
      <c r="I235" s="71"/>
      <c r="J235" s="64"/>
      <c r="K235" s="64"/>
      <c r="L235" s="64"/>
      <c r="M235" s="64"/>
      <c r="N235" s="64"/>
    </row>
    <row r="236" spans="1:14" x14ac:dyDescent="0.2">
      <c r="A236" s="66"/>
      <c r="B236" s="67"/>
      <c r="C236" s="68"/>
      <c r="D236" s="69"/>
      <c r="E236" s="70"/>
      <c r="F236" s="70"/>
      <c r="G236" s="70"/>
      <c r="H236" s="70"/>
      <c r="I236" s="70"/>
      <c r="J236" s="64"/>
      <c r="K236" s="64"/>
      <c r="L236" s="64"/>
      <c r="M236" s="64"/>
      <c r="N236" s="64"/>
    </row>
    <row r="237" spans="1:14" x14ac:dyDescent="0.2">
      <c r="A237" s="66"/>
      <c r="B237" s="67"/>
      <c r="C237" s="68"/>
      <c r="D237" s="69"/>
      <c r="E237" s="70"/>
      <c r="F237" s="70"/>
      <c r="G237" s="70"/>
      <c r="H237" s="70"/>
      <c r="I237" s="71"/>
      <c r="J237" s="64"/>
      <c r="K237" s="64"/>
      <c r="L237" s="64"/>
      <c r="M237" s="64"/>
      <c r="N237" s="64"/>
    </row>
    <row r="238" spans="1:14" x14ac:dyDescent="0.2">
      <c r="A238" s="66"/>
      <c r="B238" s="67"/>
      <c r="C238" s="68"/>
      <c r="D238" s="69"/>
      <c r="E238" s="70"/>
      <c r="F238" s="70"/>
      <c r="G238" s="70"/>
      <c r="H238" s="70"/>
      <c r="I238" s="71"/>
      <c r="J238" s="64"/>
      <c r="K238" s="64"/>
      <c r="L238" s="64"/>
      <c r="M238" s="64"/>
      <c r="N238" s="64"/>
    </row>
    <row r="239" spans="1:14" x14ac:dyDescent="0.2">
      <c r="A239" s="66"/>
      <c r="B239" s="67"/>
      <c r="C239" s="68"/>
      <c r="D239" s="69"/>
      <c r="E239" s="70"/>
      <c r="F239" s="70"/>
      <c r="G239" s="70"/>
      <c r="H239" s="70"/>
      <c r="I239" s="71"/>
      <c r="J239" s="64"/>
      <c r="K239" s="64"/>
      <c r="L239" s="64"/>
      <c r="M239" s="64"/>
      <c r="N239" s="64"/>
    </row>
    <row r="240" spans="1:14" x14ac:dyDescent="0.2">
      <c r="A240" s="66"/>
      <c r="B240" s="67"/>
      <c r="C240" s="68"/>
      <c r="D240" s="69"/>
      <c r="E240" s="70"/>
      <c r="F240" s="70"/>
      <c r="G240" s="70"/>
      <c r="H240" s="70"/>
      <c r="I240" s="70"/>
      <c r="J240" s="64"/>
      <c r="K240" s="64"/>
      <c r="L240" s="64"/>
      <c r="M240" s="64"/>
      <c r="N240" s="64"/>
    </row>
    <row r="241" spans="1:14" x14ac:dyDescent="0.2">
      <c r="A241" s="66"/>
      <c r="B241" s="67"/>
      <c r="C241" s="68"/>
      <c r="D241" s="69"/>
      <c r="E241" s="70"/>
      <c r="F241" s="70"/>
      <c r="G241" s="70"/>
      <c r="H241" s="70"/>
      <c r="I241" s="71"/>
      <c r="J241" s="64"/>
      <c r="K241" s="64"/>
      <c r="L241" s="64"/>
      <c r="M241" s="64"/>
      <c r="N241" s="64"/>
    </row>
    <row r="242" spans="1:14" x14ac:dyDescent="0.2">
      <c r="A242" s="66"/>
      <c r="B242" s="67"/>
      <c r="C242" s="68"/>
      <c r="D242" s="69"/>
      <c r="E242" s="70"/>
      <c r="F242" s="70"/>
      <c r="G242" s="70"/>
      <c r="H242" s="70"/>
      <c r="I242" s="71"/>
      <c r="J242" s="64"/>
      <c r="K242" s="64"/>
      <c r="L242" s="64"/>
      <c r="M242" s="64"/>
      <c r="N242" s="64"/>
    </row>
    <row r="243" spans="1:14" x14ac:dyDescent="0.2">
      <c r="A243" s="66"/>
      <c r="B243" s="67"/>
      <c r="C243" s="68"/>
      <c r="D243" s="69"/>
      <c r="E243" s="70"/>
      <c r="F243" s="70"/>
      <c r="G243" s="70"/>
      <c r="H243" s="70"/>
      <c r="I243" s="71"/>
      <c r="J243" s="64"/>
      <c r="K243" s="64"/>
      <c r="L243" s="64"/>
      <c r="M243" s="64"/>
      <c r="N243" s="64"/>
    </row>
    <row r="244" spans="1:14" x14ac:dyDescent="0.2">
      <c r="A244" s="66"/>
      <c r="B244" s="67"/>
      <c r="C244" s="68"/>
      <c r="D244" s="69"/>
      <c r="E244" s="70"/>
      <c r="F244" s="70"/>
      <c r="G244" s="70"/>
      <c r="H244" s="70"/>
      <c r="I244" s="71"/>
      <c r="J244" s="64"/>
      <c r="K244" s="64"/>
      <c r="L244" s="64"/>
      <c r="M244" s="64"/>
      <c r="N244" s="64"/>
    </row>
    <row r="245" spans="1:14" x14ac:dyDescent="0.2">
      <c r="A245" s="66"/>
      <c r="B245" s="67"/>
      <c r="C245" s="68"/>
      <c r="D245" s="69"/>
      <c r="E245" s="70"/>
      <c r="F245" s="70"/>
      <c r="G245" s="70"/>
      <c r="H245" s="70"/>
      <c r="I245" s="71"/>
      <c r="J245" s="64"/>
      <c r="K245" s="64"/>
      <c r="L245" s="64"/>
      <c r="M245" s="64"/>
      <c r="N245" s="64"/>
    </row>
    <row r="246" spans="1:14" x14ac:dyDescent="0.2">
      <c r="A246" s="66"/>
      <c r="B246" s="67"/>
      <c r="C246" s="68"/>
      <c r="D246" s="69"/>
      <c r="E246" s="70"/>
      <c r="F246" s="70"/>
      <c r="G246" s="70"/>
      <c r="H246" s="70"/>
      <c r="I246" s="71"/>
      <c r="J246" s="64"/>
      <c r="K246" s="64"/>
      <c r="L246" s="64"/>
      <c r="M246" s="64"/>
      <c r="N246" s="64"/>
    </row>
    <row r="247" spans="1:14" x14ac:dyDescent="0.2">
      <c r="A247" s="66"/>
      <c r="B247" s="67"/>
      <c r="C247" s="68"/>
      <c r="D247" s="69"/>
      <c r="E247" s="70"/>
      <c r="F247" s="70"/>
      <c r="G247" s="70"/>
      <c r="H247" s="70"/>
      <c r="I247" s="71"/>
      <c r="J247" s="64"/>
      <c r="K247" s="64"/>
      <c r="L247" s="64"/>
      <c r="M247" s="64"/>
      <c r="N247" s="64"/>
    </row>
    <row r="248" spans="1:14" x14ac:dyDescent="0.2">
      <c r="A248" s="66"/>
      <c r="B248" s="67"/>
      <c r="C248" s="68"/>
      <c r="D248" s="69"/>
      <c r="E248" s="70"/>
      <c r="F248" s="70"/>
      <c r="G248" s="70"/>
      <c r="H248" s="70"/>
      <c r="I248" s="71"/>
      <c r="J248" s="64"/>
      <c r="K248" s="64"/>
      <c r="L248" s="64"/>
      <c r="M248" s="64"/>
      <c r="N248" s="64"/>
    </row>
    <row r="249" spans="1:14" x14ac:dyDescent="0.2">
      <c r="A249" s="66"/>
      <c r="B249" s="67"/>
      <c r="C249" s="68"/>
      <c r="D249" s="77"/>
      <c r="E249" s="77"/>
      <c r="F249" s="77"/>
      <c r="G249" s="77"/>
      <c r="H249" s="77"/>
      <c r="I249" s="71"/>
      <c r="J249" s="64"/>
      <c r="K249" s="64"/>
      <c r="L249" s="64"/>
      <c r="M249" s="64"/>
      <c r="N249" s="64"/>
    </row>
    <row r="250" spans="1:14" x14ac:dyDescent="0.2">
      <c r="A250" s="66"/>
      <c r="B250" s="67"/>
      <c r="C250" s="78"/>
      <c r="D250" s="77"/>
      <c r="E250" s="77"/>
      <c r="F250" s="77"/>
      <c r="G250" s="77"/>
      <c r="H250" s="77"/>
      <c r="I250" s="71"/>
    </row>
    <row r="251" spans="1:14" x14ac:dyDescent="0.2">
      <c r="A251" s="66"/>
      <c r="B251" s="67"/>
      <c r="C251" s="78"/>
      <c r="D251" s="77"/>
      <c r="E251" s="77"/>
      <c r="F251" s="77"/>
      <c r="G251" s="77"/>
      <c r="H251" s="77"/>
      <c r="I251" s="71"/>
    </row>
    <row r="252" spans="1:14" x14ac:dyDescent="0.2">
      <c r="A252" s="66"/>
      <c r="B252" s="67"/>
      <c r="C252" s="68"/>
      <c r="D252" s="69"/>
      <c r="E252" s="70"/>
      <c r="F252" s="70"/>
      <c r="G252" s="70"/>
      <c r="H252" s="70"/>
      <c r="I252" s="71"/>
    </row>
    <row r="253" spans="1:14" x14ac:dyDescent="0.2">
      <c r="A253" s="73"/>
      <c r="B253" s="74"/>
      <c r="C253" s="75"/>
      <c r="D253" s="69"/>
      <c r="E253" s="70"/>
      <c r="F253" s="70"/>
      <c r="G253" s="70"/>
      <c r="H253" s="70"/>
      <c r="I253" s="70"/>
    </row>
    <row r="254" spans="1:14" x14ac:dyDescent="0.2">
      <c r="A254" s="66"/>
      <c r="B254" s="67"/>
      <c r="C254" s="68"/>
      <c r="D254" s="69"/>
      <c r="E254" s="70"/>
      <c r="F254" s="70"/>
      <c r="G254" s="70"/>
      <c r="H254" s="70"/>
      <c r="I254" s="70"/>
    </row>
    <row r="255" spans="1:14" x14ac:dyDescent="0.2">
      <c r="A255" s="66"/>
      <c r="B255" s="67"/>
      <c r="C255" s="68"/>
      <c r="D255" s="69"/>
      <c r="E255" s="70"/>
      <c r="F255" s="70"/>
      <c r="G255" s="70"/>
      <c r="H255" s="70"/>
      <c r="I255" s="71"/>
    </row>
    <row r="256" spans="1:14" x14ac:dyDescent="0.2">
      <c r="A256" s="66"/>
      <c r="B256" s="67"/>
      <c r="C256" s="68"/>
      <c r="D256" s="69"/>
      <c r="E256" s="70"/>
      <c r="F256" s="70"/>
      <c r="G256" s="70"/>
      <c r="H256" s="70"/>
      <c r="I256" s="71"/>
    </row>
    <row r="257" spans="1:9" x14ac:dyDescent="0.2">
      <c r="A257" s="66"/>
      <c r="B257" s="67"/>
      <c r="C257" s="68"/>
      <c r="D257" s="69"/>
      <c r="E257" s="70"/>
      <c r="F257" s="70"/>
      <c r="G257" s="70"/>
      <c r="H257" s="70"/>
      <c r="I257" s="71"/>
    </row>
    <row r="258" spans="1:9" x14ac:dyDescent="0.2">
      <c r="A258" s="66"/>
      <c r="B258" s="67"/>
      <c r="C258" s="68"/>
      <c r="D258" s="69"/>
      <c r="E258" s="70"/>
      <c r="F258" s="70"/>
      <c r="G258" s="70"/>
      <c r="H258" s="70"/>
      <c r="I258" s="71"/>
    </row>
    <row r="259" spans="1:9" x14ac:dyDescent="0.2">
      <c r="A259" s="66"/>
      <c r="B259" s="67"/>
      <c r="C259" s="68"/>
      <c r="D259" s="69"/>
      <c r="E259" s="70"/>
      <c r="F259" s="70"/>
      <c r="G259" s="70"/>
      <c r="H259" s="70"/>
      <c r="I259" s="71"/>
    </row>
    <row r="260" spans="1:9" x14ac:dyDescent="0.2">
      <c r="A260" s="66"/>
      <c r="B260" s="67"/>
      <c r="C260" s="68"/>
      <c r="D260" s="69"/>
      <c r="E260" s="70"/>
      <c r="F260" s="70"/>
      <c r="G260" s="70"/>
      <c r="H260" s="70"/>
      <c r="I260" s="70"/>
    </row>
    <row r="261" spans="1:9" x14ac:dyDescent="0.2">
      <c r="A261" s="66"/>
      <c r="B261" s="67"/>
      <c r="C261" s="68"/>
      <c r="D261" s="69"/>
      <c r="E261" s="70"/>
      <c r="F261" s="70"/>
      <c r="G261" s="70"/>
      <c r="H261" s="70"/>
      <c r="I261" s="71"/>
    </row>
    <row r="262" spans="1:9" x14ac:dyDescent="0.2">
      <c r="A262" s="66"/>
      <c r="B262" s="67"/>
      <c r="C262" s="68"/>
      <c r="D262" s="69"/>
      <c r="E262" s="70"/>
      <c r="F262" s="70"/>
      <c r="G262" s="70"/>
      <c r="H262" s="70"/>
      <c r="I262" s="70"/>
    </row>
    <row r="263" spans="1:9" x14ac:dyDescent="0.2">
      <c r="A263" s="66"/>
      <c r="B263" s="67"/>
      <c r="C263" s="68"/>
      <c r="D263" s="69"/>
      <c r="E263" s="70"/>
      <c r="F263" s="70"/>
      <c r="G263" s="70"/>
      <c r="H263" s="70"/>
      <c r="I263" s="71"/>
    </row>
    <row r="264" spans="1:9" x14ac:dyDescent="0.2">
      <c r="A264" s="66"/>
      <c r="B264" s="67"/>
      <c r="C264" s="68"/>
      <c r="D264" s="69"/>
      <c r="E264" s="70"/>
      <c r="F264" s="70"/>
      <c r="G264" s="70"/>
      <c r="H264" s="70"/>
      <c r="I264" s="70"/>
    </row>
    <row r="265" spans="1:9" x14ac:dyDescent="0.2">
      <c r="A265" s="66"/>
      <c r="B265" s="67"/>
      <c r="C265" s="68"/>
      <c r="D265" s="69"/>
      <c r="E265" s="70"/>
      <c r="F265" s="70"/>
      <c r="G265" s="70"/>
      <c r="H265" s="70"/>
      <c r="I265" s="71"/>
    </row>
    <row r="266" spans="1:9" x14ac:dyDescent="0.2">
      <c r="A266" s="66"/>
      <c r="B266" s="67"/>
      <c r="C266" s="68"/>
      <c r="D266" s="69"/>
      <c r="E266" s="70"/>
      <c r="F266" s="70"/>
      <c r="G266" s="70"/>
      <c r="H266" s="70"/>
      <c r="I266" s="71"/>
    </row>
    <row r="267" spans="1:9" x14ac:dyDescent="0.2">
      <c r="A267" s="66"/>
      <c r="B267" s="67"/>
      <c r="C267" s="68"/>
      <c r="D267" s="69"/>
      <c r="E267" s="70"/>
      <c r="F267" s="70"/>
      <c r="G267" s="70"/>
      <c r="H267" s="70"/>
      <c r="I267" s="71"/>
    </row>
    <row r="268" spans="1:9" x14ac:dyDescent="0.2">
      <c r="A268" s="66"/>
      <c r="B268" s="67"/>
      <c r="C268" s="68"/>
      <c r="D268" s="69"/>
      <c r="E268" s="70"/>
      <c r="F268" s="70"/>
      <c r="G268" s="70"/>
      <c r="H268" s="70"/>
      <c r="I268" s="71"/>
    </row>
    <row r="269" spans="1:9" x14ac:dyDescent="0.2">
      <c r="A269" s="66"/>
      <c r="B269" s="67"/>
      <c r="C269" s="68"/>
      <c r="D269" s="69"/>
      <c r="E269" s="70"/>
      <c r="F269" s="70"/>
      <c r="G269" s="70"/>
      <c r="H269" s="70"/>
      <c r="I269" s="71"/>
    </row>
    <row r="270" spans="1:9" x14ac:dyDescent="0.2">
      <c r="A270" s="66"/>
      <c r="B270" s="67"/>
      <c r="C270" s="68"/>
      <c r="D270" s="69"/>
      <c r="E270" s="70"/>
      <c r="F270" s="70"/>
      <c r="G270" s="70"/>
      <c r="H270" s="70"/>
      <c r="I270" s="71"/>
    </row>
    <row r="271" spans="1:9" x14ac:dyDescent="0.2">
      <c r="A271" s="66"/>
      <c r="B271" s="67"/>
      <c r="C271" s="68"/>
      <c r="D271" s="69"/>
      <c r="E271" s="70"/>
      <c r="F271" s="70"/>
      <c r="G271" s="70"/>
      <c r="H271" s="70"/>
      <c r="I271" s="71"/>
    </row>
    <row r="272" spans="1:9" x14ac:dyDescent="0.2">
      <c r="A272" s="66"/>
      <c r="B272" s="67"/>
      <c r="C272" s="68"/>
      <c r="D272" s="69"/>
      <c r="E272" s="70"/>
      <c r="F272" s="70"/>
      <c r="G272" s="70"/>
      <c r="H272" s="70"/>
      <c r="I272" s="71"/>
    </row>
    <row r="273" spans="1:9" x14ac:dyDescent="0.2">
      <c r="A273" s="66"/>
      <c r="B273" s="67"/>
      <c r="C273" s="68"/>
      <c r="D273" s="69"/>
      <c r="E273" s="70"/>
      <c r="F273" s="70"/>
      <c r="G273" s="70"/>
      <c r="H273" s="70"/>
      <c r="I273" s="71"/>
    </row>
    <row r="274" spans="1:9" x14ac:dyDescent="0.2">
      <c r="A274" s="66"/>
      <c r="B274" s="67"/>
      <c r="C274" s="68"/>
      <c r="D274" s="69"/>
      <c r="E274" s="70"/>
      <c r="F274" s="70"/>
      <c r="G274" s="70"/>
      <c r="H274" s="70"/>
      <c r="I274" s="71"/>
    </row>
    <row r="275" spans="1:9" x14ac:dyDescent="0.2">
      <c r="A275" s="66"/>
      <c r="B275" s="67"/>
      <c r="C275" s="68"/>
      <c r="D275" s="69"/>
      <c r="E275" s="70"/>
      <c r="F275" s="70"/>
      <c r="G275" s="70"/>
      <c r="H275" s="70"/>
      <c r="I275" s="71"/>
    </row>
    <row r="276" spans="1:9" x14ac:dyDescent="0.2">
      <c r="A276" s="66"/>
      <c r="B276" s="67"/>
      <c r="C276" s="68"/>
      <c r="D276" s="69"/>
      <c r="E276" s="70"/>
      <c r="F276" s="70"/>
      <c r="G276" s="70"/>
      <c r="H276" s="70"/>
      <c r="I276" s="71"/>
    </row>
    <row r="277" spans="1:9" x14ac:dyDescent="0.2">
      <c r="A277" s="66"/>
      <c r="B277" s="67"/>
      <c r="C277" s="68"/>
      <c r="D277" s="69"/>
      <c r="E277" s="70"/>
      <c r="F277" s="70"/>
      <c r="G277" s="70"/>
      <c r="H277" s="70"/>
      <c r="I277" s="71"/>
    </row>
    <row r="278" spans="1:9" x14ac:dyDescent="0.2">
      <c r="A278" s="73"/>
      <c r="B278" s="74"/>
      <c r="C278" s="75"/>
      <c r="D278" s="69"/>
      <c r="E278" s="70"/>
      <c r="F278" s="70"/>
      <c r="G278" s="70"/>
      <c r="H278" s="70"/>
      <c r="I278" s="71"/>
    </row>
    <row r="279" spans="1:9" x14ac:dyDescent="0.2">
      <c r="A279" s="66"/>
      <c r="B279" s="67"/>
      <c r="C279" s="68"/>
      <c r="D279" s="69"/>
      <c r="E279" s="70"/>
      <c r="F279" s="70"/>
      <c r="G279" s="70"/>
      <c r="H279" s="70"/>
      <c r="I279" s="71"/>
    </row>
    <row r="280" spans="1:9" x14ac:dyDescent="0.2">
      <c r="A280" s="66"/>
      <c r="B280" s="67"/>
      <c r="C280" s="68"/>
      <c r="D280" s="69"/>
      <c r="E280" s="70"/>
      <c r="F280" s="70"/>
      <c r="G280" s="70"/>
      <c r="H280" s="70"/>
      <c r="I280" s="71"/>
    </row>
    <row r="281" spans="1:9" x14ac:dyDescent="0.2">
      <c r="A281" s="66"/>
      <c r="B281" s="79"/>
      <c r="C281" s="68"/>
      <c r="D281" s="80"/>
      <c r="E281" s="80"/>
      <c r="F281" s="80"/>
      <c r="G281" s="80"/>
      <c r="H281" s="70"/>
      <c r="I281" s="77"/>
    </row>
    <row r="282" spans="1:9" x14ac:dyDescent="0.2">
      <c r="A282" s="81"/>
      <c r="B282" s="46"/>
      <c r="C282" s="82"/>
      <c r="D282" s="77"/>
      <c r="E282" s="83"/>
      <c r="F282" s="83"/>
      <c r="G282" s="83"/>
      <c r="H282" s="83"/>
      <c r="I282" s="83"/>
    </row>
    <row r="283" spans="1:9" x14ac:dyDescent="0.2">
      <c r="A283" s="84"/>
      <c r="B283" s="85"/>
      <c r="C283" s="86"/>
      <c r="D283" s="87"/>
      <c r="E283" s="88"/>
      <c r="F283" s="88"/>
      <c r="G283" s="88"/>
      <c r="H283" s="88"/>
      <c r="I283" s="88"/>
    </row>
    <row r="284" spans="1:9" x14ac:dyDescent="0.2">
      <c r="A284" s="84"/>
      <c r="B284" s="85"/>
      <c r="C284" s="86"/>
      <c r="D284" s="87"/>
      <c r="E284" s="88"/>
      <c r="F284" s="88"/>
      <c r="G284" s="88"/>
      <c r="H284" s="88"/>
      <c r="I284" s="88"/>
    </row>
    <row r="285" spans="1:9" x14ac:dyDescent="0.2">
      <c r="A285" s="84"/>
      <c r="B285" s="85"/>
      <c r="C285" s="86"/>
      <c r="D285" s="87"/>
      <c r="E285" s="88"/>
      <c r="F285" s="88"/>
      <c r="G285" s="88"/>
      <c r="H285" s="88"/>
      <c r="I285" s="88"/>
    </row>
    <row r="286" spans="1:9" x14ac:dyDescent="0.2">
      <c r="A286" s="84"/>
      <c r="B286" s="85"/>
      <c r="C286" s="86"/>
      <c r="D286" s="87"/>
      <c r="E286" s="88"/>
      <c r="F286" s="88"/>
      <c r="G286" s="88"/>
      <c r="H286" s="88"/>
      <c r="I286" s="88"/>
    </row>
    <row r="287" spans="1:9" x14ac:dyDescent="0.2">
      <c r="A287" s="84"/>
      <c r="B287" s="85"/>
      <c r="C287" s="86"/>
      <c r="D287" s="87"/>
      <c r="E287" s="88"/>
      <c r="F287" s="88"/>
      <c r="G287" s="88"/>
      <c r="H287" s="88"/>
      <c r="I287" s="88"/>
    </row>
    <row r="288" spans="1:9" x14ac:dyDescent="0.2">
      <c r="A288" s="84"/>
      <c r="B288" s="85"/>
      <c r="C288" s="86"/>
      <c r="D288" s="87"/>
      <c r="E288" s="88"/>
      <c r="F288" s="88"/>
      <c r="G288" s="88"/>
      <c r="H288" s="88"/>
      <c r="I288" s="88"/>
    </row>
    <row r="289" spans="1:9" x14ac:dyDescent="0.2">
      <c r="A289" s="84"/>
      <c r="B289" s="85"/>
      <c r="C289" s="86"/>
      <c r="D289" s="87"/>
      <c r="E289" s="88"/>
      <c r="F289" s="88"/>
      <c r="G289" s="88"/>
      <c r="H289" s="88"/>
      <c r="I289" s="88"/>
    </row>
    <row r="290" spans="1:9" x14ac:dyDescent="0.2">
      <c r="A290" s="84"/>
      <c r="B290" s="85"/>
      <c r="C290" s="86"/>
      <c r="D290" s="87"/>
      <c r="E290" s="88"/>
      <c r="F290" s="88"/>
      <c r="G290" s="88"/>
      <c r="H290" s="88"/>
      <c r="I290" s="88"/>
    </row>
    <row r="291" spans="1:9" x14ac:dyDescent="0.2">
      <c r="A291" s="84"/>
      <c r="B291" s="85"/>
      <c r="C291" s="86"/>
      <c r="D291" s="87"/>
      <c r="E291" s="88"/>
      <c r="F291" s="88"/>
      <c r="G291" s="88"/>
      <c r="H291" s="88"/>
      <c r="I291" s="88"/>
    </row>
    <row r="292" spans="1:9" x14ac:dyDescent="0.2">
      <c r="A292" s="84"/>
      <c r="B292" s="85"/>
      <c r="C292" s="86"/>
      <c r="D292" s="87"/>
      <c r="E292" s="88"/>
      <c r="F292" s="88"/>
      <c r="G292" s="88"/>
      <c r="H292" s="88"/>
      <c r="I292" s="88"/>
    </row>
    <row r="293" spans="1:9" x14ac:dyDescent="0.2">
      <c r="A293" s="84"/>
      <c r="B293" s="85"/>
      <c r="C293" s="86"/>
      <c r="D293" s="87"/>
      <c r="E293" s="88"/>
      <c r="F293" s="88"/>
      <c r="G293" s="88"/>
      <c r="H293" s="88"/>
      <c r="I293" s="88"/>
    </row>
    <row r="294" spans="1:9" x14ac:dyDescent="0.2">
      <c r="A294" s="84"/>
      <c r="B294" s="85"/>
      <c r="C294" s="86"/>
      <c r="D294" s="87"/>
      <c r="E294" s="88"/>
      <c r="F294" s="88"/>
      <c r="G294" s="88"/>
      <c r="H294" s="88"/>
      <c r="I294" s="88"/>
    </row>
    <row r="295" spans="1:9" x14ac:dyDescent="0.2">
      <c r="A295" s="84"/>
      <c r="B295" s="85"/>
      <c r="C295" s="86"/>
      <c r="D295" s="87"/>
      <c r="E295" s="88"/>
      <c r="F295" s="88"/>
      <c r="G295" s="88"/>
      <c r="H295" s="88"/>
      <c r="I295" s="88"/>
    </row>
    <row r="296" spans="1:9" x14ac:dyDescent="0.2">
      <c r="A296" s="84"/>
      <c r="B296" s="85"/>
      <c r="C296" s="86"/>
      <c r="D296" s="87"/>
      <c r="E296" s="88"/>
      <c r="F296" s="88"/>
      <c r="G296" s="88"/>
      <c r="H296" s="88"/>
      <c r="I296" s="88"/>
    </row>
    <row r="297" spans="1:9" x14ac:dyDescent="0.2">
      <c r="A297" s="84"/>
      <c r="B297" s="85"/>
      <c r="C297" s="86"/>
      <c r="D297" s="87"/>
      <c r="E297" s="88"/>
      <c r="F297" s="88"/>
      <c r="G297" s="88"/>
      <c r="H297" s="88"/>
      <c r="I297" s="88"/>
    </row>
    <row r="298" spans="1:9" x14ac:dyDescent="0.2">
      <c r="A298" s="84"/>
      <c r="B298" s="85"/>
      <c r="C298" s="86"/>
      <c r="D298" s="87"/>
      <c r="E298" s="88"/>
      <c r="F298" s="88"/>
      <c r="G298" s="88"/>
      <c r="H298" s="88"/>
      <c r="I298" s="88"/>
    </row>
    <row r="299" spans="1:9" x14ac:dyDescent="0.2">
      <c r="A299" s="84"/>
      <c r="B299" s="85"/>
      <c r="C299" s="86"/>
      <c r="D299" s="87"/>
      <c r="E299" s="88"/>
      <c r="F299" s="88"/>
      <c r="G299" s="88"/>
      <c r="H299" s="88"/>
      <c r="I299" s="88"/>
    </row>
    <row r="300" spans="1:9" x14ac:dyDescent="0.2">
      <c r="A300" s="84"/>
      <c r="B300" s="85"/>
      <c r="C300" s="86"/>
      <c r="D300" s="87"/>
      <c r="E300" s="88"/>
      <c r="F300" s="88"/>
      <c r="G300" s="88"/>
      <c r="H300" s="88"/>
      <c r="I300" s="88"/>
    </row>
    <row r="301" spans="1:9" x14ac:dyDescent="0.2">
      <c r="A301" s="84"/>
      <c r="B301" s="85"/>
      <c r="C301" s="86"/>
      <c r="D301" s="87"/>
      <c r="E301" s="88"/>
      <c r="F301" s="88"/>
      <c r="G301" s="88"/>
      <c r="H301" s="88"/>
      <c r="I301" s="88"/>
    </row>
    <row r="302" spans="1:9" x14ac:dyDescent="0.2">
      <c r="A302" s="84"/>
      <c r="B302" s="85"/>
      <c r="C302" s="86"/>
      <c r="D302" s="87"/>
      <c r="E302" s="88"/>
      <c r="F302" s="88"/>
      <c r="G302" s="88"/>
      <c r="H302" s="88"/>
      <c r="I302" s="88"/>
    </row>
    <row r="303" spans="1:9" x14ac:dyDescent="0.2">
      <c r="A303" s="84"/>
      <c r="B303" s="85"/>
      <c r="C303" s="86"/>
      <c r="D303" s="87"/>
      <c r="E303" s="88"/>
      <c r="F303" s="88"/>
      <c r="G303" s="88"/>
      <c r="H303" s="88"/>
      <c r="I303" s="88"/>
    </row>
    <row r="304" spans="1:9" x14ac:dyDescent="0.2">
      <c r="A304" s="84"/>
      <c r="B304" s="85"/>
      <c r="C304" s="86"/>
      <c r="D304" s="87"/>
      <c r="E304" s="88"/>
      <c r="F304" s="88"/>
      <c r="G304" s="88"/>
      <c r="H304" s="88"/>
      <c r="I304" s="88"/>
    </row>
    <row r="305" spans="1:9" x14ac:dyDescent="0.2">
      <c r="A305" s="84"/>
      <c r="B305" s="85"/>
      <c r="C305" s="86"/>
      <c r="D305" s="87"/>
      <c r="E305" s="88"/>
      <c r="F305" s="88"/>
      <c r="G305" s="88"/>
      <c r="H305" s="88"/>
      <c r="I305" s="88"/>
    </row>
    <row r="306" spans="1:9" x14ac:dyDescent="0.2">
      <c r="A306" s="84"/>
      <c r="B306" s="85"/>
      <c r="C306" s="86"/>
      <c r="D306" s="87"/>
      <c r="E306" s="88"/>
      <c r="F306" s="88"/>
      <c r="G306" s="88"/>
      <c r="H306" s="88"/>
      <c r="I306" s="88"/>
    </row>
    <row r="307" spans="1:9" x14ac:dyDescent="0.2">
      <c r="A307" s="84"/>
      <c r="B307" s="85"/>
      <c r="C307" s="86"/>
      <c r="D307" s="87"/>
      <c r="E307" s="88"/>
      <c r="F307" s="88"/>
      <c r="G307" s="88"/>
      <c r="H307" s="88"/>
      <c r="I307" s="88"/>
    </row>
    <row r="308" spans="1:9" x14ac:dyDescent="0.2">
      <c r="A308" s="84"/>
      <c r="B308" s="85"/>
      <c r="C308" s="86"/>
      <c r="D308" s="87"/>
      <c r="E308" s="88"/>
      <c r="F308" s="88"/>
      <c r="G308" s="88"/>
      <c r="H308" s="88"/>
      <c r="I308" s="88"/>
    </row>
    <row r="309" spans="1:9" x14ac:dyDescent="0.2">
      <c r="A309" s="84"/>
      <c r="B309" s="85"/>
      <c r="C309" s="86"/>
      <c r="D309" s="87"/>
      <c r="E309" s="88"/>
      <c r="F309" s="88"/>
      <c r="G309" s="88"/>
      <c r="H309" s="88"/>
      <c r="I309" s="88"/>
    </row>
    <row r="310" spans="1:9" x14ac:dyDescent="0.2">
      <c r="A310" s="84"/>
      <c r="B310" s="85"/>
      <c r="C310" s="86"/>
      <c r="D310" s="87"/>
      <c r="E310" s="88"/>
      <c r="F310" s="88"/>
      <c r="G310" s="88"/>
      <c r="H310" s="88"/>
      <c r="I310" s="88"/>
    </row>
    <row r="311" spans="1:9" x14ac:dyDescent="0.2">
      <c r="A311" s="84"/>
      <c r="B311" s="85"/>
      <c r="C311" s="86"/>
      <c r="D311" s="87"/>
      <c r="E311" s="88"/>
      <c r="F311" s="88"/>
      <c r="G311" s="88"/>
      <c r="H311" s="88"/>
      <c r="I311" s="88"/>
    </row>
    <row r="312" spans="1:9" x14ac:dyDescent="0.2">
      <c r="A312" s="84"/>
      <c r="B312" s="85"/>
      <c r="C312" s="86"/>
      <c r="D312" s="87"/>
      <c r="E312" s="88"/>
      <c r="F312" s="88"/>
      <c r="G312" s="88"/>
      <c r="H312" s="88"/>
      <c r="I312" s="88"/>
    </row>
    <row r="313" spans="1:9" x14ac:dyDescent="0.2">
      <c r="A313" s="84"/>
      <c r="B313" s="85"/>
      <c r="C313" s="86"/>
      <c r="D313" s="87"/>
      <c r="E313" s="88"/>
      <c r="F313" s="88"/>
      <c r="G313" s="88"/>
      <c r="H313" s="88"/>
      <c r="I313" s="88"/>
    </row>
    <row r="314" spans="1:9" x14ac:dyDescent="0.2">
      <c r="A314" s="84"/>
      <c r="B314" s="85"/>
      <c r="C314" s="86"/>
      <c r="D314" s="87"/>
      <c r="E314" s="88"/>
      <c r="F314" s="88"/>
      <c r="G314" s="88"/>
      <c r="H314" s="88"/>
      <c r="I314" s="88"/>
    </row>
    <row r="315" spans="1:9" x14ac:dyDescent="0.2">
      <c r="A315" s="84"/>
      <c r="B315" s="85"/>
      <c r="C315" s="86"/>
      <c r="D315" s="87"/>
      <c r="E315" s="88"/>
      <c r="F315" s="88"/>
      <c r="G315" s="88"/>
      <c r="H315" s="88"/>
      <c r="I315" s="88"/>
    </row>
    <row r="316" spans="1:9" x14ac:dyDescent="0.2">
      <c r="A316" s="84"/>
      <c r="B316" s="85"/>
      <c r="C316" s="86"/>
      <c r="D316" s="87"/>
      <c r="E316" s="88"/>
      <c r="F316" s="88"/>
      <c r="G316" s="88"/>
      <c r="H316" s="88"/>
      <c r="I316" s="88"/>
    </row>
    <row r="317" spans="1:9" x14ac:dyDescent="0.2">
      <c r="A317" s="84"/>
      <c r="B317" s="85"/>
      <c r="C317" s="86"/>
      <c r="D317" s="87"/>
      <c r="E317" s="88"/>
      <c r="F317" s="88"/>
      <c r="G317" s="88"/>
      <c r="H317" s="88"/>
      <c r="I317" s="88"/>
    </row>
    <row r="318" spans="1:9" x14ac:dyDescent="0.2">
      <c r="A318" s="84"/>
      <c r="B318" s="85"/>
      <c r="C318" s="86"/>
      <c r="D318" s="87"/>
      <c r="E318" s="88"/>
      <c r="F318" s="88"/>
      <c r="G318" s="88"/>
      <c r="H318" s="88"/>
      <c r="I318" s="88"/>
    </row>
  </sheetData>
  <mergeCells count="9">
    <mergeCell ref="D117:F117"/>
    <mergeCell ref="D116:F116"/>
    <mergeCell ref="A1:I1"/>
    <mergeCell ref="A2:B2"/>
    <mergeCell ref="A3:B3"/>
    <mergeCell ref="A4:A5"/>
    <mergeCell ref="B4:B5"/>
    <mergeCell ref="C4:I4"/>
    <mergeCell ref="D5:H5"/>
  </mergeCells>
  <pageMargins left="0.98425196850393704" right="0.59055118110236227" top="1.5748031496062993" bottom="1.1811023622047245" header="0.98425196850393704" footer="0.59055118110236227"/>
  <pageSetup paperSize="9" orientation="landscape" r:id="rId1"/>
  <headerFooter>
    <oddHeader>&amp;C&amp;G</oddHeader>
    <oddFooter>&amp;C&amp;"Trebuchet MS,Itálico"&amp;9Rua Pedro Caetano Domingues, nº 33, Quincas Machado, Guaçuí – ES / CNPJ: 21.861.470/0001-10 
       contato.vmengenharia@gmail.com / (28) 9 9963 2562 / (28) 9 9966 6524&amp;R
&amp;"Trebuchet MS,Itálico"&amp;9&amp;P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7"/>
  <sheetViews>
    <sheetView view="pageBreakPreview" zoomScale="120" zoomScaleNormal="85" zoomScaleSheetLayoutView="120" workbookViewId="0">
      <selection activeCell="F24" sqref="F24"/>
    </sheetView>
  </sheetViews>
  <sheetFormatPr defaultColWidth="10.6640625" defaultRowHeight="15" customHeight="1" x14ac:dyDescent="0.25"/>
  <cols>
    <col min="1" max="1" width="6.44140625" customWidth="1"/>
    <col min="2" max="2" width="20.5546875" customWidth="1"/>
    <col min="3" max="3" width="13.88671875" customWidth="1"/>
    <col min="4" max="8" width="13.6640625" customWidth="1"/>
    <col min="9" max="24" width="10.6640625" style="10"/>
    <col min="25" max="16384" width="10.6640625" style="9"/>
  </cols>
  <sheetData>
    <row r="1" spans="1:24" ht="20.25" customHeight="1" x14ac:dyDescent="0.25">
      <c r="A1" s="315" t="s">
        <v>23</v>
      </c>
      <c r="B1" s="315"/>
      <c r="C1" s="315"/>
      <c r="D1" s="315"/>
      <c r="E1" s="315"/>
      <c r="F1" s="315"/>
      <c r="G1" s="315"/>
      <c r="H1" s="315"/>
    </row>
    <row r="2" spans="1:24" ht="15" customHeight="1" x14ac:dyDescent="0.25">
      <c r="A2" s="25" t="s">
        <v>184</v>
      </c>
      <c r="B2" s="25"/>
      <c r="C2" s="25"/>
      <c r="D2" s="25"/>
      <c r="E2" s="140"/>
      <c r="F2" s="140"/>
      <c r="G2" s="140"/>
      <c r="H2" s="140"/>
    </row>
    <row r="3" spans="1:24" ht="15" customHeight="1" x14ac:dyDescent="0.25">
      <c r="A3" s="25" t="s">
        <v>185</v>
      </c>
      <c r="B3" s="25"/>
      <c r="C3" s="25"/>
      <c r="D3" s="26"/>
      <c r="E3" s="26"/>
      <c r="F3" s="26"/>
      <c r="G3" s="26"/>
      <c r="H3" s="26"/>
    </row>
    <row r="4" spans="1:24" ht="13.2" x14ac:dyDescent="0.25">
      <c r="A4" s="333" t="s">
        <v>0</v>
      </c>
      <c r="B4" s="333" t="s">
        <v>7</v>
      </c>
      <c r="C4" s="333"/>
      <c r="D4" s="334" t="s">
        <v>16</v>
      </c>
      <c r="E4" s="333" t="s">
        <v>8</v>
      </c>
      <c r="F4" s="333"/>
      <c r="G4" s="333"/>
      <c r="H4" s="333"/>
    </row>
    <row r="5" spans="1:24" s="6" customFormat="1" ht="13.2" x14ac:dyDescent="0.25">
      <c r="A5" s="333"/>
      <c r="B5" s="333"/>
      <c r="C5" s="333"/>
      <c r="D5" s="334"/>
      <c r="E5" s="31">
        <v>1</v>
      </c>
      <c r="F5" s="31">
        <v>2</v>
      </c>
      <c r="G5" s="31">
        <v>3</v>
      </c>
      <c r="H5" s="31">
        <v>4</v>
      </c>
      <c r="I5" s="11"/>
      <c r="J5" s="11"/>
      <c r="K5" s="11"/>
      <c r="L5" s="11"/>
      <c r="M5" s="11"/>
      <c r="N5" s="11"/>
      <c r="O5" s="11"/>
      <c r="P5" s="11"/>
      <c r="Q5" s="11"/>
      <c r="R5" s="11"/>
      <c r="S5" s="11"/>
      <c r="T5" s="11"/>
      <c r="U5" s="11"/>
      <c r="V5" s="11"/>
      <c r="W5" s="11"/>
      <c r="X5" s="11"/>
    </row>
    <row r="6" spans="1:24" ht="13.2" x14ac:dyDescent="0.25">
      <c r="A6" s="327" t="s">
        <v>42</v>
      </c>
      <c r="B6" s="330" t="str">
        <f>'Planilha Orçamentária'!D6</f>
        <v>ADMINISTRAÇÃO LOCAL</v>
      </c>
      <c r="C6" s="32" t="s">
        <v>9</v>
      </c>
      <c r="D6" s="332">
        <f>'Planilha Orçamentária'!H8</f>
        <v>6799.71</v>
      </c>
      <c r="E6" s="37">
        <v>0.22</v>
      </c>
      <c r="F6" s="37">
        <v>0.3</v>
      </c>
      <c r="G6" s="37">
        <v>0.28000000000000003</v>
      </c>
      <c r="H6" s="37">
        <v>0.2</v>
      </c>
      <c r="I6" s="10">
        <f t="shared" ref="I6:I19" si="0">SUM(E6:H6)</f>
        <v>1</v>
      </c>
    </row>
    <row r="7" spans="1:24" ht="13.2" x14ac:dyDescent="0.25">
      <c r="A7" s="328"/>
      <c r="B7" s="331"/>
      <c r="C7" s="33" t="s">
        <v>10</v>
      </c>
      <c r="D7" s="332"/>
      <c r="E7" s="36">
        <f>ROUND(D6*E6,2)</f>
        <v>1495.94</v>
      </c>
      <c r="F7" s="36">
        <f>ROUND(D6*F6,2)</f>
        <v>2039.91</v>
      </c>
      <c r="G7" s="36">
        <f>ROUND(D6*G6,2)</f>
        <v>1903.92</v>
      </c>
      <c r="H7" s="36">
        <f>ROUND(D6*H6,2)</f>
        <v>1359.94</v>
      </c>
      <c r="I7" s="10">
        <f t="shared" si="0"/>
        <v>6799.71</v>
      </c>
    </row>
    <row r="8" spans="1:24" ht="13.2" x14ac:dyDescent="0.25">
      <c r="A8" s="327" t="s">
        <v>44</v>
      </c>
      <c r="B8" s="330" t="str">
        <f>'Planilha Orçamentária'!D9</f>
        <v>SERVIÇOS PRELIMINARES</v>
      </c>
      <c r="C8" s="32" t="s">
        <v>9</v>
      </c>
      <c r="D8" s="332">
        <f>'Planilha Orçamentária'!H14</f>
        <v>1146.6600000000001</v>
      </c>
      <c r="E8" s="37">
        <v>1</v>
      </c>
      <c r="F8" s="38"/>
      <c r="G8" s="38"/>
      <c r="H8" s="38"/>
      <c r="I8" s="10">
        <f t="shared" si="0"/>
        <v>1</v>
      </c>
    </row>
    <row r="9" spans="1:24" ht="13.2" x14ac:dyDescent="0.25">
      <c r="A9" s="328"/>
      <c r="B9" s="331"/>
      <c r="C9" s="33" t="s">
        <v>10</v>
      </c>
      <c r="D9" s="332"/>
      <c r="E9" s="36">
        <f>E8*D8</f>
        <v>1146.6600000000001</v>
      </c>
      <c r="F9" s="36"/>
      <c r="G9" s="36"/>
      <c r="H9" s="36"/>
      <c r="I9" s="10">
        <f t="shared" si="0"/>
        <v>1146.6600000000001</v>
      </c>
    </row>
    <row r="10" spans="1:24" ht="13.2" x14ac:dyDescent="0.25">
      <c r="A10" s="327" t="s">
        <v>46</v>
      </c>
      <c r="B10" s="330" t="str">
        <f>'Planilha Orçamentária'!D15</f>
        <v>CANTEIRO DE OBRAS</v>
      </c>
      <c r="C10" s="32" t="s">
        <v>9</v>
      </c>
      <c r="D10" s="332">
        <f>'Planilha Orçamentária'!H22</f>
        <v>11212.12</v>
      </c>
      <c r="E10" s="37">
        <v>1</v>
      </c>
      <c r="F10" s="38"/>
      <c r="G10" s="38"/>
      <c r="H10" s="38"/>
      <c r="I10" s="10">
        <f t="shared" si="0"/>
        <v>1</v>
      </c>
    </row>
    <row r="11" spans="1:24" ht="13.2" x14ac:dyDescent="0.25">
      <c r="A11" s="328"/>
      <c r="B11" s="331"/>
      <c r="C11" s="33" t="s">
        <v>10</v>
      </c>
      <c r="D11" s="332"/>
      <c r="E11" s="36">
        <f>ROUND(D10*E10,2)</f>
        <v>11212.12</v>
      </c>
      <c r="F11" s="36"/>
      <c r="G11" s="36"/>
      <c r="H11" s="36"/>
      <c r="I11" s="10">
        <f t="shared" si="0"/>
        <v>11212.12</v>
      </c>
    </row>
    <row r="12" spans="1:24" ht="13.2" x14ac:dyDescent="0.25">
      <c r="A12" s="327" t="s">
        <v>53</v>
      </c>
      <c r="B12" s="330" t="str">
        <f>'Planilha Orçamentária'!D23</f>
        <v>ESTRUTURA DA PASSARELA</v>
      </c>
      <c r="C12" s="32" t="s">
        <v>9</v>
      </c>
      <c r="D12" s="332">
        <f>'Planilha Orçamentária'!H28</f>
        <v>59125.85</v>
      </c>
      <c r="E12" s="37">
        <v>0.5</v>
      </c>
      <c r="F12" s="38">
        <v>0.5</v>
      </c>
      <c r="G12" s="38"/>
      <c r="H12" s="38"/>
      <c r="I12" s="10">
        <f t="shared" si="0"/>
        <v>1</v>
      </c>
    </row>
    <row r="13" spans="1:24" ht="13.2" x14ac:dyDescent="0.25">
      <c r="A13" s="328"/>
      <c r="B13" s="331"/>
      <c r="C13" s="33" t="s">
        <v>10</v>
      </c>
      <c r="D13" s="332"/>
      <c r="E13" s="36">
        <f>E12*D12-0.01</f>
        <v>29562.92</v>
      </c>
      <c r="F13" s="36">
        <f>F12*D12</f>
        <v>29562.93</v>
      </c>
      <c r="G13" s="36"/>
      <c r="H13" s="36"/>
      <c r="I13" s="10">
        <f t="shared" si="0"/>
        <v>59125.85</v>
      </c>
    </row>
    <row r="14" spans="1:24" ht="13.2" x14ac:dyDescent="0.25">
      <c r="A14" s="327" t="s">
        <v>56</v>
      </c>
      <c r="B14" s="330" t="str">
        <f>'Planilha Orçamentária'!D29</f>
        <v>COBERTURA DA PASSARELA</v>
      </c>
      <c r="C14" s="32" t="s">
        <v>9</v>
      </c>
      <c r="D14" s="332">
        <f>'Planilha Orçamentária'!H36</f>
        <v>55599.66</v>
      </c>
      <c r="E14" s="37"/>
      <c r="F14" s="38">
        <v>0.5</v>
      </c>
      <c r="G14" s="38">
        <v>0.5</v>
      </c>
      <c r="H14" s="38"/>
      <c r="I14" s="10">
        <f t="shared" si="0"/>
        <v>1</v>
      </c>
    </row>
    <row r="15" spans="1:24" ht="13.2" x14ac:dyDescent="0.25">
      <c r="A15" s="328"/>
      <c r="B15" s="331"/>
      <c r="C15" s="33" t="s">
        <v>10</v>
      </c>
      <c r="D15" s="332"/>
      <c r="E15" s="36"/>
      <c r="F15" s="36">
        <f>F14*$D$14</f>
        <v>27799.83</v>
      </c>
      <c r="G15" s="36">
        <f>G14*$D$14</f>
        <v>27799.83</v>
      </c>
      <c r="H15" s="36"/>
      <c r="I15" s="10">
        <f t="shared" si="0"/>
        <v>55599.66</v>
      </c>
    </row>
    <row r="16" spans="1:24" ht="13.2" x14ac:dyDescent="0.25">
      <c r="A16" s="327" t="s">
        <v>40</v>
      </c>
      <c r="B16" s="330" t="str">
        <f>'Planilha Orçamentária'!D37</f>
        <v>INTALAÇÕES ELÉTRICAS</v>
      </c>
      <c r="C16" s="32" t="s">
        <v>9</v>
      </c>
      <c r="D16" s="332">
        <f>'Planilha Orçamentária'!H47</f>
        <v>1651.92</v>
      </c>
      <c r="E16" s="37"/>
      <c r="F16" s="37">
        <v>0.2</v>
      </c>
      <c r="G16" s="37">
        <v>0.2</v>
      </c>
      <c r="H16" s="37">
        <v>0.6</v>
      </c>
      <c r="I16" s="10">
        <f t="shared" si="0"/>
        <v>1</v>
      </c>
    </row>
    <row r="17" spans="1:9" ht="13.2" x14ac:dyDescent="0.25">
      <c r="A17" s="328"/>
      <c r="B17" s="331"/>
      <c r="C17" s="33" t="s">
        <v>10</v>
      </c>
      <c r="D17" s="332"/>
      <c r="E17" s="36"/>
      <c r="F17" s="36">
        <f>F16*D16</f>
        <v>330.38</v>
      </c>
      <c r="G17" s="36">
        <f>G16*D16</f>
        <v>330.38</v>
      </c>
      <c r="H17" s="36">
        <f>H16*D16+0.01</f>
        <v>991.16</v>
      </c>
      <c r="I17" s="10">
        <f t="shared" si="0"/>
        <v>1651.92</v>
      </c>
    </row>
    <row r="18" spans="1:9" ht="13.2" x14ac:dyDescent="0.25">
      <c r="A18" s="327" t="str">
        <f>'Planilha Orçamentária'!C49</f>
        <v>7.0</v>
      </c>
      <c r="B18" s="330" t="str">
        <f>'Planilha Orçamentária'!D49</f>
        <v>SERVIÇOS COMPLEMENTARES</v>
      </c>
      <c r="C18" s="32" t="s">
        <v>9</v>
      </c>
      <c r="D18" s="332">
        <f>'Planilha Orçamentária'!H58</f>
        <v>59261.69</v>
      </c>
      <c r="E18" s="37"/>
      <c r="F18" s="37"/>
      <c r="G18" s="37">
        <v>0.4</v>
      </c>
      <c r="H18" s="37">
        <v>0.6</v>
      </c>
      <c r="I18" s="10">
        <f t="shared" si="0"/>
        <v>1</v>
      </c>
    </row>
    <row r="19" spans="1:9" ht="13.2" x14ac:dyDescent="0.25">
      <c r="A19" s="328"/>
      <c r="B19" s="331"/>
      <c r="C19" s="33" t="s">
        <v>10</v>
      </c>
      <c r="D19" s="332"/>
      <c r="E19" s="36"/>
      <c r="F19" s="36"/>
      <c r="G19" s="36">
        <f>G18*D18</f>
        <v>23704.68</v>
      </c>
      <c r="H19" s="36">
        <f>H18*D18</f>
        <v>35557.01</v>
      </c>
      <c r="I19" s="10">
        <f t="shared" si="0"/>
        <v>59261.69</v>
      </c>
    </row>
    <row r="20" spans="1:9" ht="13.2" x14ac:dyDescent="0.25">
      <c r="A20" s="326" t="s">
        <v>11</v>
      </c>
      <c r="B20" s="326"/>
      <c r="C20" s="326"/>
      <c r="D20" s="329">
        <f>SUM(D6:D19)</f>
        <v>194797.61</v>
      </c>
      <c r="E20" s="34">
        <f>ROUND(E22/D20,4)</f>
        <v>0.22289999999999999</v>
      </c>
      <c r="F20" s="34">
        <f>ROUND(F22/D20,4)</f>
        <v>0.30659999999999998</v>
      </c>
      <c r="G20" s="34">
        <f>ROUND(G22/D20,4)</f>
        <v>0.27589999999999998</v>
      </c>
      <c r="H20" s="34">
        <f>ROUND(H22/D20,4)</f>
        <v>0.1946</v>
      </c>
    </row>
    <row r="21" spans="1:9" ht="13.2" x14ac:dyDescent="0.25">
      <c r="A21" s="326" t="s">
        <v>12</v>
      </c>
      <c r="B21" s="326"/>
      <c r="C21" s="326"/>
      <c r="D21" s="329"/>
      <c r="E21" s="34">
        <f>E20</f>
        <v>0.22289999999999999</v>
      </c>
      <c r="F21" s="39">
        <f>F20+E21</f>
        <v>0.52949999999999997</v>
      </c>
      <c r="G21" s="39">
        <f t="shared" ref="G21:H21" si="1">G20+F21</f>
        <v>0.8054</v>
      </c>
      <c r="H21" s="39">
        <f t="shared" si="1"/>
        <v>1</v>
      </c>
    </row>
    <row r="22" spans="1:9" ht="13.2" x14ac:dyDescent="0.25">
      <c r="A22" s="326" t="s">
        <v>13</v>
      </c>
      <c r="B22" s="326"/>
      <c r="C22" s="326"/>
      <c r="D22" s="329"/>
      <c r="E22" s="35">
        <f>E7+E9+E11+E13+E15+E17+E19</f>
        <v>43417.64</v>
      </c>
      <c r="F22" s="35">
        <f t="shared" ref="F22:G22" si="2">F7+F9+F11+F13+F15+F17+F19</f>
        <v>59733.05</v>
      </c>
      <c r="G22" s="35">
        <f t="shared" si="2"/>
        <v>53738.81</v>
      </c>
      <c r="H22" s="35">
        <f>H7+H9+H11+H13+H15+H17+H19</f>
        <v>37908.11</v>
      </c>
    </row>
    <row r="23" spans="1:9" ht="13.2" x14ac:dyDescent="0.25">
      <c r="A23" s="326" t="s">
        <v>14</v>
      </c>
      <c r="B23" s="326"/>
      <c r="C23" s="326"/>
      <c r="D23" s="329"/>
      <c r="E23" s="35">
        <f>E22</f>
        <v>43417.64</v>
      </c>
      <c r="F23" s="35">
        <f>ROUND(F22+E23,2)</f>
        <v>103150.69</v>
      </c>
      <c r="G23" s="35">
        <f t="shared" ref="G23:H23" si="3">ROUND(G22+F23,2)</f>
        <v>156889.5</v>
      </c>
      <c r="H23" s="35">
        <f t="shared" si="3"/>
        <v>194797.61</v>
      </c>
    </row>
    <row r="24" spans="1:9" ht="24.9" customHeight="1" x14ac:dyDescent="0.25">
      <c r="A24" s="17"/>
      <c r="B24" s="17"/>
      <c r="C24" s="17"/>
      <c r="D24" s="17"/>
      <c r="E24" s="17"/>
      <c r="F24" s="17"/>
      <c r="G24" s="17"/>
      <c r="H24" s="17"/>
    </row>
    <row r="25" spans="1:9" ht="26.4" customHeight="1" x14ac:dyDescent="0.25">
      <c r="A25" s="17"/>
      <c r="B25" s="17"/>
      <c r="C25" s="17"/>
      <c r="D25" s="17"/>
      <c r="E25" s="115"/>
      <c r="F25" s="115"/>
      <c r="G25" s="115"/>
      <c r="H25" s="17"/>
    </row>
    <row r="26" spans="1:9" ht="13.2" customHeight="1" x14ac:dyDescent="0.25">
      <c r="A26" s="17"/>
      <c r="B26" s="17"/>
      <c r="C26" s="41"/>
      <c r="D26" s="41"/>
      <c r="E26" s="324" t="s">
        <v>182</v>
      </c>
      <c r="F26" s="324"/>
      <c r="G26" s="324"/>
      <c r="H26" s="41"/>
    </row>
    <row r="27" spans="1:9" ht="12.6" customHeight="1" x14ac:dyDescent="0.25">
      <c r="A27" s="17"/>
      <c r="B27" s="17"/>
      <c r="C27" s="40"/>
      <c r="D27" s="40"/>
      <c r="E27" s="325" t="s">
        <v>183</v>
      </c>
      <c r="F27" s="325"/>
      <c r="G27" s="325"/>
      <c r="H27" s="40"/>
    </row>
  </sheetData>
  <mergeCells count="33">
    <mergeCell ref="D16:D17"/>
    <mergeCell ref="D14:D15"/>
    <mergeCell ref="A6:A7"/>
    <mergeCell ref="B6:B7"/>
    <mergeCell ref="D12:D13"/>
    <mergeCell ref="A10:A11"/>
    <mergeCell ref="B10:B11"/>
    <mergeCell ref="D10:D11"/>
    <mergeCell ref="A1:H1"/>
    <mergeCell ref="E4:H4"/>
    <mergeCell ref="A8:A9"/>
    <mergeCell ref="D8:D9"/>
    <mergeCell ref="D6:D7"/>
    <mergeCell ref="A4:A5"/>
    <mergeCell ref="B4:C5"/>
    <mergeCell ref="D4:D5"/>
    <mergeCell ref="B8:B9"/>
    <mergeCell ref="E26:G26"/>
    <mergeCell ref="E27:G27"/>
    <mergeCell ref="A22:C22"/>
    <mergeCell ref="A23:C23"/>
    <mergeCell ref="A12:A13"/>
    <mergeCell ref="D20:D23"/>
    <mergeCell ref="A21:C21"/>
    <mergeCell ref="A20:C20"/>
    <mergeCell ref="A18:A19"/>
    <mergeCell ref="B18:B19"/>
    <mergeCell ref="D18:D19"/>
    <mergeCell ref="A16:A17"/>
    <mergeCell ref="A14:A15"/>
    <mergeCell ref="B12:B13"/>
    <mergeCell ref="B14:B15"/>
    <mergeCell ref="B16:B17"/>
  </mergeCells>
  <conditionalFormatting sqref="E20:E23 F20:H20 F22:H23">
    <cfRule type="cellIs" dxfId="207" priority="5" operator="equal">
      <formula>0</formula>
    </cfRule>
  </conditionalFormatting>
  <printOptions horizontalCentered="1"/>
  <pageMargins left="0.98425196850393704" right="0.59055118110236227" top="1.5748031496062993" bottom="1.1811023622047245" header="0.98425196850393704" footer="0.59055118110236227"/>
  <pageSetup paperSize="9" orientation="landscape" r:id="rId1"/>
  <headerFooter scaleWithDoc="0" alignWithMargins="0">
    <oddHeader>&amp;C&amp;"MV Boli,Normal Negrito"&amp;20&amp;G</oddHeader>
    <oddFooter>&amp;C&amp;"Trebuchet MS,Itálico"&amp;9Rua Pedro Caetano Domingues, nº 33, Quincas Machado, Guaçuí – ES / CNPJ: 21.861.470/0001-10 
       contato.vmengenharia@gmail.com / (28) 9 9963 2562 / (28) 9 9966 6524&amp;R&amp;"Trebuchet MS,Itálico"&amp;9&amp;P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0510-06E0-4BD1-9057-33C1C148CA2C}">
  <dimension ref="A1:K159"/>
  <sheetViews>
    <sheetView view="pageBreakPreview" zoomScale="140" zoomScaleNormal="100" zoomScaleSheetLayoutView="140" workbookViewId="0">
      <selection activeCell="I126" sqref="I126"/>
    </sheetView>
  </sheetViews>
  <sheetFormatPr defaultColWidth="9.109375" defaultRowHeight="13.8" x14ac:dyDescent="0.25"/>
  <cols>
    <col min="1" max="1" width="8.109375" style="148" customWidth="1"/>
    <col min="2" max="2" width="42.6640625" style="147" customWidth="1"/>
    <col min="3" max="3" width="6.88671875" style="148" customWidth="1"/>
    <col min="4" max="4" width="9.33203125" style="148" customWidth="1"/>
    <col min="5" max="5" width="10.33203125" style="148" customWidth="1"/>
    <col min="6" max="6" width="9.44140625" style="148" customWidth="1"/>
    <col min="7" max="7" width="9.109375" style="139"/>
    <col min="8" max="8" width="11.5546875" style="139" bestFit="1" customWidth="1"/>
    <col min="9" max="9" width="12.109375" style="139" customWidth="1"/>
    <col min="10" max="10" width="12" style="139" bestFit="1" customWidth="1"/>
    <col min="11" max="11" width="11.5546875" style="139" bestFit="1" customWidth="1"/>
    <col min="12" max="16384" width="9.109375" style="139"/>
  </cols>
  <sheetData>
    <row r="1" spans="1:10" ht="24.75" customHeight="1" x14ac:dyDescent="0.25">
      <c r="A1" s="335" t="s">
        <v>202</v>
      </c>
      <c r="B1" s="335"/>
      <c r="C1" s="335"/>
      <c r="D1" s="335"/>
      <c r="E1" s="335"/>
      <c r="F1" s="335"/>
    </row>
    <row r="2" spans="1:10" ht="28.5" customHeight="1" x14ac:dyDescent="0.25">
      <c r="A2" s="142" t="s">
        <v>152</v>
      </c>
      <c r="B2" s="143" t="s">
        <v>215</v>
      </c>
      <c r="C2" s="142" t="s">
        <v>77</v>
      </c>
      <c r="D2" s="142" t="s">
        <v>164</v>
      </c>
      <c r="E2" s="142" t="s">
        <v>150</v>
      </c>
      <c r="F2" s="142" t="s">
        <v>151</v>
      </c>
    </row>
    <row r="3" spans="1:10" x14ac:dyDescent="0.25">
      <c r="A3" s="231">
        <v>88315</v>
      </c>
      <c r="B3" s="290" t="s">
        <v>153</v>
      </c>
      <c r="C3" s="231" t="s">
        <v>71</v>
      </c>
      <c r="D3" s="291">
        <v>6.15</v>
      </c>
      <c r="E3" s="291">
        <v>18.98</v>
      </c>
      <c r="F3" s="292">
        <f t="shared" ref="F3:F9" si="0">E3*D3</f>
        <v>116.73</v>
      </c>
    </row>
    <row r="4" spans="1:10" x14ac:dyDescent="0.25">
      <c r="A4" s="231">
        <v>88316</v>
      </c>
      <c r="B4" s="290" t="s">
        <v>163</v>
      </c>
      <c r="C4" s="231" t="s">
        <v>71</v>
      </c>
      <c r="D4" s="291">
        <v>6.15</v>
      </c>
      <c r="E4" s="291">
        <v>13.66</v>
      </c>
      <c r="F4" s="292">
        <f t="shared" si="0"/>
        <v>84.01</v>
      </c>
    </row>
    <row r="5" spans="1:10" ht="21.6" x14ac:dyDescent="0.25">
      <c r="A5" s="231">
        <v>98746</v>
      </c>
      <c r="B5" s="290" t="s">
        <v>214</v>
      </c>
      <c r="C5" s="231" t="s">
        <v>87</v>
      </c>
      <c r="D5" s="293">
        <f>SUM(E16:E21)/1000</f>
        <v>16.82</v>
      </c>
      <c r="E5" s="291">
        <v>55.37</v>
      </c>
      <c r="F5" s="292">
        <f t="shared" si="0"/>
        <v>931.32</v>
      </c>
      <c r="H5" s="239"/>
    </row>
    <row r="6" spans="1:10" ht="43.2" x14ac:dyDescent="0.25">
      <c r="A6" s="231" t="s">
        <v>74</v>
      </c>
      <c r="B6" s="290" t="s">
        <v>341</v>
      </c>
      <c r="C6" s="231" t="s">
        <v>155</v>
      </c>
      <c r="D6" s="291">
        <f>E22+E23</f>
        <v>149.52000000000001</v>
      </c>
      <c r="E6" s="291">
        <f>460/61.4</f>
        <v>7.49</v>
      </c>
      <c r="F6" s="292">
        <f t="shared" ref="F6" si="1">E6*D6</f>
        <v>1119.9000000000001</v>
      </c>
      <c r="H6" s="239"/>
      <c r="J6" s="240"/>
    </row>
    <row r="7" spans="1:10" ht="30" customHeight="1" x14ac:dyDescent="0.25">
      <c r="A7" s="231">
        <v>1334</v>
      </c>
      <c r="B7" s="290" t="s">
        <v>220</v>
      </c>
      <c r="C7" s="231" t="s">
        <v>155</v>
      </c>
      <c r="D7" s="291">
        <f>E24</f>
        <v>19.420000000000002</v>
      </c>
      <c r="E7" s="291">
        <v>6.13</v>
      </c>
      <c r="F7" s="292">
        <f t="shared" si="0"/>
        <v>119.04</v>
      </c>
      <c r="H7" s="239"/>
    </row>
    <row r="8" spans="1:10" ht="21.6" x14ac:dyDescent="0.25">
      <c r="A8" s="231">
        <v>1330</v>
      </c>
      <c r="B8" s="290" t="s">
        <v>221</v>
      </c>
      <c r="C8" s="231" t="s">
        <v>155</v>
      </c>
      <c r="D8" s="293">
        <f>E25</f>
        <v>1.35</v>
      </c>
      <c r="E8" s="291">
        <v>5.33</v>
      </c>
      <c r="F8" s="292">
        <f t="shared" si="0"/>
        <v>7.2</v>
      </c>
      <c r="H8" s="239"/>
    </row>
    <row r="9" spans="1:10" x14ac:dyDescent="0.25">
      <c r="A9" s="231" t="s">
        <v>74</v>
      </c>
      <c r="B9" s="290" t="s">
        <v>348</v>
      </c>
      <c r="C9" s="231" t="s">
        <v>77</v>
      </c>
      <c r="D9" s="291">
        <f>E26</f>
        <v>6</v>
      </c>
      <c r="E9" s="291">
        <v>14.99</v>
      </c>
      <c r="F9" s="292">
        <f t="shared" si="0"/>
        <v>89.94</v>
      </c>
    </row>
    <row r="10" spans="1:10" ht="21.6" x14ac:dyDescent="0.25">
      <c r="A10" s="231" t="s">
        <v>74</v>
      </c>
      <c r="B10" s="290" t="s">
        <v>349</v>
      </c>
      <c r="C10" s="231" t="s">
        <v>77</v>
      </c>
      <c r="D10" s="291">
        <f>D9</f>
        <v>6</v>
      </c>
      <c r="E10" s="291">
        <v>79.989999999999995</v>
      </c>
      <c r="F10" s="292">
        <f t="shared" ref="F10" si="2">E10*D10</f>
        <v>479.94</v>
      </c>
    </row>
    <row r="11" spans="1:10" x14ac:dyDescent="0.25">
      <c r="A11" s="235"/>
      <c r="B11" s="234"/>
      <c r="C11" s="235"/>
      <c r="D11" s="235"/>
      <c r="E11" s="231"/>
      <c r="F11" s="237">
        <f>SUM(F3:F10)</f>
        <v>2948.08</v>
      </c>
    </row>
    <row r="12" spans="1:10" x14ac:dyDescent="0.25">
      <c r="A12" s="235"/>
      <c r="B12" s="234"/>
      <c r="C12" s="235"/>
      <c r="D12" s="235"/>
      <c r="E12" s="232"/>
      <c r="F12" s="238"/>
    </row>
    <row r="13" spans="1:10" x14ac:dyDescent="0.25">
      <c r="A13" s="262" t="s">
        <v>276</v>
      </c>
      <c r="B13" s="234"/>
      <c r="C13" s="235"/>
      <c r="D13" s="235"/>
      <c r="E13" s="232"/>
      <c r="F13" s="238"/>
    </row>
    <row r="14" spans="1:10" x14ac:dyDescent="0.25">
      <c r="A14" s="271" t="s">
        <v>277</v>
      </c>
      <c r="B14" s="270" t="s">
        <v>284</v>
      </c>
      <c r="C14" s="235"/>
      <c r="D14" s="235"/>
      <c r="E14" s="232"/>
      <c r="F14" s="238"/>
    </row>
    <row r="15" spans="1:10" x14ac:dyDescent="0.25">
      <c r="A15" s="269" t="s">
        <v>278</v>
      </c>
      <c r="B15" s="270" t="s">
        <v>284</v>
      </c>
      <c r="C15" s="235"/>
      <c r="D15" s="235"/>
      <c r="E15" s="232"/>
      <c r="F15" s="238"/>
    </row>
    <row r="16" spans="1:10" x14ac:dyDescent="0.25">
      <c r="A16" s="269" t="s">
        <v>279</v>
      </c>
      <c r="B16" s="234" t="s">
        <v>353</v>
      </c>
      <c r="C16" s="235"/>
      <c r="D16" s="235"/>
      <c r="E16" s="272">
        <f>5366*2</f>
        <v>10732</v>
      </c>
      <c r="F16" s="267" t="s">
        <v>287</v>
      </c>
      <c r="H16" s="254"/>
    </row>
    <row r="17" spans="1:9" x14ac:dyDescent="0.25">
      <c r="A17" s="269"/>
      <c r="B17" s="234" t="s">
        <v>315</v>
      </c>
      <c r="C17" s="235"/>
      <c r="D17" s="235"/>
      <c r="E17" s="272">
        <f>1698*2</f>
        <v>3396</v>
      </c>
      <c r="F17" s="267" t="s">
        <v>287</v>
      </c>
    </row>
    <row r="18" spans="1:9" x14ac:dyDescent="0.25">
      <c r="A18" s="269"/>
      <c r="B18" s="270" t="s">
        <v>289</v>
      </c>
      <c r="C18" s="235"/>
      <c r="D18" s="235"/>
      <c r="E18" s="272">
        <f>150+150+120+120</f>
        <v>540</v>
      </c>
      <c r="F18" s="267" t="s">
        <v>287</v>
      </c>
    </row>
    <row r="19" spans="1:9" x14ac:dyDescent="0.25">
      <c r="A19" s="269"/>
      <c r="B19" s="270" t="s">
        <v>290</v>
      </c>
      <c r="C19" s="235"/>
      <c r="D19" s="235"/>
      <c r="E19" s="272">
        <f t="shared" ref="E19:E20" si="3">150+150+120+120</f>
        <v>540</v>
      </c>
      <c r="F19" s="267" t="s">
        <v>287</v>
      </c>
    </row>
    <row r="20" spans="1:9" x14ac:dyDescent="0.25">
      <c r="A20" s="269"/>
      <c r="B20" s="270" t="s">
        <v>291</v>
      </c>
      <c r="C20" s="235"/>
      <c r="D20" s="235"/>
      <c r="E20" s="272">
        <f t="shared" si="3"/>
        <v>540</v>
      </c>
      <c r="F20" s="267" t="s">
        <v>287</v>
      </c>
    </row>
    <row r="21" spans="1:9" x14ac:dyDescent="0.25">
      <c r="A21" s="269"/>
      <c r="B21" s="270" t="s">
        <v>292</v>
      </c>
      <c r="C21" s="235"/>
      <c r="D21" s="235"/>
      <c r="E21" s="272">
        <f>(150+118)*4</f>
        <v>1072</v>
      </c>
      <c r="F21" s="267" t="s">
        <v>287</v>
      </c>
    </row>
    <row r="22" spans="1:9" x14ac:dyDescent="0.25">
      <c r="A22" s="257" t="s">
        <v>294</v>
      </c>
      <c r="B22" s="270" t="s">
        <v>352</v>
      </c>
      <c r="C22" s="235"/>
      <c r="D22" s="235"/>
      <c r="E22" s="273">
        <f>5.608*10.233*2</f>
        <v>114.77</v>
      </c>
      <c r="F22" s="267" t="s">
        <v>28</v>
      </c>
    </row>
    <row r="23" spans="1:9" x14ac:dyDescent="0.25">
      <c r="A23" s="269"/>
      <c r="B23" s="270" t="s">
        <v>320</v>
      </c>
      <c r="C23" s="235"/>
      <c r="D23" s="235"/>
      <c r="E23" s="273">
        <f>1.698*10.233*2</f>
        <v>34.75</v>
      </c>
      <c r="F23" s="267" t="s">
        <v>28</v>
      </c>
    </row>
    <row r="24" spans="1:9" x14ac:dyDescent="0.25">
      <c r="A24" s="269" t="s">
        <v>283</v>
      </c>
      <c r="B24" s="270" t="s">
        <v>293</v>
      </c>
      <c r="C24" s="235"/>
      <c r="D24" s="235"/>
      <c r="E24" s="273">
        <f>0.39*0.4*124.49</f>
        <v>19.420000000000002</v>
      </c>
      <c r="F24" s="267" t="s">
        <v>28</v>
      </c>
    </row>
    <row r="25" spans="1:9" x14ac:dyDescent="0.25">
      <c r="A25" s="269" t="s">
        <v>281</v>
      </c>
      <c r="B25" s="270" t="s">
        <v>354</v>
      </c>
      <c r="C25" s="235"/>
      <c r="D25" s="235"/>
      <c r="E25" s="273">
        <f>0.013508*49.79*2</f>
        <v>1.35</v>
      </c>
      <c r="F25" s="267" t="s">
        <v>28</v>
      </c>
    </row>
    <row r="26" spans="1:9" x14ac:dyDescent="0.25">
      <c r="A26" s="269" t="s">
        <v>294</v>
      </c>
      <c r="B26" s="270" t="s">
        <v>295</v>
      </c>
      <c r="C26" s="235"/>
      <c r="D26" s="235"/>
      <c r="E26" s="273">
        <v>6</v>
      </c>
      <c r="F26" s="267" t="s">
        <v>296</v>
      </c>
    </row>
    <row r="27" spans="1:9" x14ac:dyDescent="0.25">
      <c r="A27" s="235"/>
      <c r="B27" s="234"/>
      <c r="C27" s="235"/>
      <c r="D27" s="235"/>
      <c r="E27" s="232"/>
      <c r="F27" s="238"/>
    </row>
    <row r="28" spans="1:9" ht="20.399999999999999" x14ac:dyDescent="0.25">
      <c r="A28" s="142" t="s">
        <v>154</v>
      </c>
      <c r="B28" s="143" t="s">
        <v>216</v>
      </c>
      <c r="C28" s="142" t="s">
        <v>77</v>
      </c>
      <c r="D28" s="142" t="s">
        <v>164</v>
      </c>
      <c r="E28" s="142" t="s">
        <v>150</v>
      </c>
      <c r="F28" s="142" t="s">
        <v>151</v>
      </c>
    </row>
    <row r="29" spans="1:9" x14ac:dyDescent="0.25">
      <c r="A29" s="231">
        <v>88315</v>
      </c>
      <c r="B29" s="290" t="s">
        <v>153</v>
      </c>
      <c r="C29" s="231" t="s">
        <v>71</v>
      </c>
      <c r="D29" s="291">
        <v>2.6</v>
      </c>
      <c r="E29" s="291">
        <v>18.98</v>
      </c>
      <c r="F29" s="292">
        <f t="shared" ref="F29:F34" si="4">E29*D29</f>
        <v>49.35</v>
      </c>
    </row>
    <row r="30" spans="1:9" x14ac:dyDescent="0.25">
      <c r="A30" s="231">
        <v>88316</v>
      </c>
      <c r="B30" s="290" t="s">
        <v>163</v>
      </c>
      <c r="C30" s="231" t="s">
        <v>71</v>
      </c>
      <c r="D30" s="291">
        <v>2.6</v>
      </c>
      <c r="E30" s="291">
        <v>13.66</v>
      </c>
      <c r="F30" s="292">
        <f t="shared" si="4"/>
        <v>35.520000000000003</v>
      </c>
    </row>
    <row r="31" spans="1:9" ht="21.6" x14ac:dyDescent="0.25">
      <c r="A31" s="231">
        <v>98746</v>
      </c>
      <c r="B31" s="290" t="s">
        <v>214</v>
      </c>
      <c r="C31" s="231" t="s">
        <v>87</v>
      </c>
      <c r="D31" s="291">
        <f>SUM(E43:E46)/1000</f>
        <v>6.98</v>
      </c>
      <c r="E31" s="291">
        <v>55.37</v>
      </c>
      <c r="F31" s="292">
        <f t="shared" si="4"/>
        <v>386.48</v>
      </c>
      <c r="H31" s="239"/>
    </row>
    <row r="32" spans="1:9" ht="42.6" customHeight="1" x14ac:dyDescent="0.25">
      <c r="A32" s="231" t="s">
        <v>74</v>
      </c>
      <c r="B32" s="290" t="s">
        <v>342</v>
      </c>
      <c r="C32" s="231" t="s">
        <v>155</v>
      </c>
      <c r="D32" s="291">
        <f>E47</f>
        <v>43.88</v>
      </c>
      <c r="E32" s="291">
        <f>460/61.4</f>
        <v>7.49</v>
      </c>
      <c r="F32" s="292">
        <f t="shared" si="4"/>
        <v>328.66</v>
      </c>
      <c r="H32" s="239"/>
      <c r="I32" s="240"/>
    </row>
    <row r="33" spans="1:9" ht="30" customHeight="1" x14ac:dyDescent="0.25">
      <c r="A33" s="231">
        <v>1334</v>
      </c>
      <c r="B33" s="290" t="s">
        <v>222</v>
      </c>
      <c r="C33" s="231" t="s">
        <v>155</v>
      </c>
      <c r="D33" s="291">
        <f>E48</f>
        <v>10.46</v>
      </c>
      <c r="E33" s="291">
        <v>6.13</v>
      </c>
      <c r="F33" s="292">
        <f t="shared" si="4"/>
        <v>64.12</v>
      </c>
      <c r="H33" s="239"/>
      <c r="I33" s="239"/>
    </row>
    <row r="34" spans="1:9" ht="21.6" x14ac:dyDescent="0.25">
      <c r="A34" s="294">
        <v>1330</v>
      </c>
      <c r="B34" s="295" t="s">
        <v>223</v>
      </c>
      <c r="C34" s="294" t="s">
        <v>155</v>
      </c>
      <c r="D34" s="296">
        <f>E49</f>
        <v>2.02</v>
      </c>
      <c r="E34" s="292">
        <v>5.33</v>
      </c>
      <c r="F34" s="292">
        <f t="shared" si="4"/>
        <v>10.77</v>
      </c>
      <c r="H34" s="239"/>
    </row>
    <row r="35" spans="1:9" ht="21.6" x14ac:dyDescent="0.25">
      <c r="A35" s="294">
        <v>1330</v>
      </c>
      <c r="B35" s="295" t="s">
        <v>275</v>
      </c>
      <c r="C35" s="294" t="s">
        <v>155</v>
      </c>
      <c r="D35" s="296">
        <f>E50</f>
        <v>0.9</v>
      </c>
      <c r="E35" s="292">
        <v>5.33</v>
      </c>
      <c r="F35" s="292">
        <f t="shared" ref="F35:F37" si="5">E35*D35</f>
        <v>4.8</v>
      </c>
      <c r="H35" s="239"/>
    </row>
    <row r="36" spans="1:9" x14ac:dyDescent="0.25">
      <c r="A36" s="231" t="s">
        <v>74</v>
      </c>
      <c r="B36" s="290" t="s">
        <v>348</v>
      </c>
      <c r="C36" s="231" t="s">
        <v>77</v>
      </c>
      <c r="D36" s="291">
        <v>4</v>
      </c>
      <c r="E36" s="291">
        <v>14.99</v>
      </c>
      <c r="F36" s="292">
        <f t="shared" si="5"/>
        <v>59.96</v>
      </c>
    </row>
    <row r="37" spans="1:9" ht="21.6" x14ac:dyDescent="0.25">
      <c r="A37" s="231" t="s">
        <v>74</v>
      </c>
      <c r="B37" s="290" t="s">
        <v>349</v>
      </c>
      <c r="C37" s="231" t="s">
        <v>77</v>
      </c>
      <c r="D37" s="291">
        <v>4</v>
      </c>
      <c r="E37" s="291">
        <v>79.989999999999995</v>
      </c>
      <c r="F37" s="292">
        <f t="shared" si="5"/>
        <v>319.95999999999998</v>
      </c>
    </row>
    <row r="38" spans="1:9" x14ac:dyDescent="0.25">
      <c r="A38" s="235"/>
      <c r="B38" s="234"/>
      <c r="C38" s="235"/>
      <c r="D38" s="235"/>
      <c r="E38" s="256"/>
      <c r="F38" s="237">
        <f>SUM(F29:F37)</f>
        <v>1259.6199999999999</v>
      </c>
    </row>
    <row r="39" spans="1:9" x14ac:dyDescent="0.25">
      <c r="A39" s="235"/>
      <c r="B39" s="234"/>
      <c r="C39" s="235"/>
      <c r="D39" s="235"/>
      <c r="E39" s="232"/>
      <c r="F39" s="238"/>
    </row>
    <row r="40" spans="1:9" x14ac:dyDescent="0.25">
      <c r="A40" s="262" t="s">
        <v>276</v>
      </c>
      <c r="B40" s="234"/>
      <c r="C40" s="235"/>
      <c r="D40" s="235"/>
      <c r="E40" s="232"/>
      <c r="F40" s="238"/>
    </row>
    <row r="41" spans="1:9" x14ac:dyDescent="0.25">
      <c r="A41" s="263" t="s">
        <v>277</v>
      </c>
      <c r="B41" s="264" t="s">
        <v>285</v>
      </c>
      <c r="C41" s="265"/>
      <c r="D41" s="265"/>
      <c r="E41" s="264"/>
      <c r="F41" s="233"/>
    </row>
    <row r="42" spans="1:9" x14ac:dyDescent="0.25">
      <c r="A42" s="266" t="s">
        <v>278</v>
      </c>
      <c r="B42" s="337" t="s">
        <v>285</v>
      </c>
      <c r="C42" s="337"/>
      <c r="D42" s="337"/>
      <c r="E42" s="264"/>
      <c r="F42" s="233"/>
    </row>
    <row r="43" spans="1:9" x14ac:dyDescent="0.25">
      <c r="A43" s="266" t="s">
        <v>279</v>
      </c>
      <c r="B43" s="336" t="s">
        <v>316</v>
      </c>
      <c r="C43" s="336"/>
      <c r="D43" s="336"/>
      <c r="E43" s="275">
        <f>2144*2</f>
        <v>4288</v>
      </c>
      <c r="F43" s="267" t="s">
        <v>287</v>
      </c>
      <c r="H43" s="254"/>
    </row>
    <row r="44" spans="1:9" x14ac:dyDescent="0.25">
      <c r="A44" s="266"/>
      <c r="B44" s="336" t="s">
        <v>288</v>
      </c>
      <c r="C44" s="336"/>
      <c r="D44" s="336"/>
      <c r="E44" s="272">
        <f>150+150+120+120</f>
        <v>540</v>
      </c>
      <c r="F44" s="267" t="s">
        <v>287</v>
      </c>
    </row>
    <row r="45" spans="1:9" x14ac:dyDescent="0.25">
      <c r="A45" s="266"/>
      <c r="B45" s="336" t="s">
        <v>280</v>
      </c>
      <c r="C45" s="336"/>
      <c r="D45" s="336"/>
      <c r="E45" s="272">
        <f>(150+118)*6</f>
        <v>1608</v>
      </c>
      <c r="F45" s="267" t="s">
        <v>287</v>
      </c>
    </row>
    <row r="46" spans="1:9" x14ac:dyDescent="0.25">
      <c r="A46" s="266"/>
      <c r="B46" s="336" t="s">
        <v>297</v>
      </c>
      <c r="C46" s="336"/>
      <c r="D46" s="336"/>
      <c r="E46" s="272">
        <f>150+150+120+120</f>
        <v>540</v>
      </c>
      <c r="F46" s="267" t="s">
        <v>287</v>
      </c>
    </row>
    <row r="47" spans="1:9" x14ac:dyDescent="0.25">
      <c r="A47" s="257" t="s">
        <v>294</v>
      </c>
      <c r="B47" s="336" t="s">
        <v>321</v>
      </c>
      <c r="C47" s="336"/>
      <c r="D47" s="336"/>
      <c r="E47" s="274">
        <f>2.144*10.233*2</f>
        <v>43.88</v>
      </c>
      <c r="F47" s="267" t="s">
        <v>28</v>
      </c>
    </row>
    <row r="48" spans="1:9" x14ac:dyDescent="0.25">
      <c r="A48" s="269" t="s">
        <v>283</v>
      </c>
      <c r="B48" s="336" t="s">
        <v>298</v>
      </c>
      <c r="C48" s="336"/>
      <c r="D48" s="336"/>
      <c r="E48" s="274">
        <f>0.28*0.3*124.49</f>
        <v>10.46</v>
      </c>
      <c r="F48" s="267" t="s">
        <v>28</v>
      </c>
    </row>
    <row r="49" spans="1:8" x14ac:dyDescent="0.25">
      <c r="A49" s="269" t="s">
        <v>281</v>
      </c>
      <c r="B49" s="337" t="s">
        <v>355</v>
      </c>
      <c r="C49" s="337"/>
      <c r="D49" s="337"/>
      <c r="E49" s="274">
        <f>0.013508*49.79*3</f>
        <v>2.02</v>
      </c>
      <c r="F49" s="267" t="s">
        <v>28</v>
      </c>
    </row>
    <row r="50" spans="1:8" x14ac:dyDescent="0.25">
      <c r="A50" s="269" t="s">
        <v>281</v>
      </c>
      <c r="B50" s="337" t="s">
        <v>299</v>
      </c>
      <c r="C50" s="337"/>
      <c r="D50" s="337"/>
      <c r="E50" s="274">
        <f>0.018*49.79</f>
        <v>0.9</v>
      </c>
      <c r="F50" s="267" t="s">
        <v>28</v>
      </c>
    </row>
    <row r="51" spans="1:8" x14ac:dyDescent="0.25">
      <c r="A51" s="269" t="s">
        <v>294</v>
      </c>
      <c r="B51" s="270" t="s">
        <v>304</v>
      </c>
      <c r="C51" s="235"/>
      <c r="D51" s="235"/>
      <c r="E51" s="273">
        <v>4</v>
      </c>
      <c r="F51" s="267" t="s">
        <v>296</v>
      </c>
    </row>
    <row r="52" spans="1:8" x14ac:dyDescent="0.25">
      <c r="A52" s="266"/>
      <c r="B52" s="270"/>
      <c r="C52" s="235"/>
      <c r="D52" s="235"/>
      <c r="E52" s="232"/>
      <c r="F52" s="238"/>
    </row>
    <row r="53" spans="1:8" ht="20.399999999999999" x14ac:dyDescent="0.25">
      <c r="A53" s="142" t="s">
        <v>159</v>
      </c>
      <c r="B53" s="143" t="s">
        <v>217</v>
      </c>
      <c r="C53" s="142" t="s">
        <v>77</v>
      </c>
      <c r="D53" s="142" t="s">
        <v>164</v>
      </c>
      <c r="E53" s="142" t="s">
        <v>150</v>
      </c>
      <c r="F53" s="142" t="s">
        <v>151</v>
      </c>
    </row>
    <row r="54" spans="1:8" x14ac:dyDescent="0.25">
      <c r="A54" s="231">
        <v>88315</v>
      </c>
      <c r="B54" s="290" t="s">
        <v>153</v>
      </c>
      <c r="C54" s="231" t="s">
        <v>71</v>
      </c>
      <c r="D54" s="291">
        <v>3.8</v>
      </c>
      <c r="E54" s="291">
        <v>18.98</v>
      </c>
      <c r="F54" s="292">
        <f t="shared" ref="F54:F62" si="6">E54*D54</f>
        <v>72.12</v>
      </c>
    </row>
    <row r="55" spans="1:8" x14ac:dyDescent="0.25">
      <c r="A55" s="231">
        <v>88316</v>
      </c>
      <c r="B55" s="290" t="s">
        <v>163</v>
      </c>
      <c r="C55" s="231" t="s">
        <v>71</v>
      </c>
      <c r="D55" s="291">
        <v>3.8</v>
      </c>
      <c r="E55" s="291">
        <v>13.66</v>
      </c>
      <c r="F55" s="292">
        <f t="shared" si="6"/>
        <v>51.91</v>
      </c>
    </row>
    <row r="56" spans="1:8" ht="21.6" x14ac:dyDescent="0.25">
      <c r="A56" s="231">
        <v>98746</v>
      </c>
      <c r="B56" s="290" t="s">
        <v>214</v>
      </c>
      <c r="C56" s="231" t="s">
        <v>87</v>
      </c>
      <c r="D56" s="293">
        <f>SUM(E68:E72)/1000</f>
        <v>9.83</v>
      </c>
      <c r="E56" s="291">
        <v>55.37</v>
      </c>
      <c r="F56" s="292">
        <f t="shared" si="6"/>
        <v>544.29</v>
      </c>
      <c r="H56" s="239"/>
    </row>
    <row r="57" spans="1:8" ht="45" customHeight="1" x14ac:dyDescent="0.25">
      <c r="A57" s="231" t="s">
        <v>74</v>
      </c>
      <c r="B57" s="290" t="s">
        <v>343</v>
      </c>
      <c r="C57" s="231" t="s">
        <v>155</v>
      </c>
      <c r="D57" s="291">
        <f>E73+E74</f>
        <v>62.05</v>
      </c>
      <c r="E57" s="291">
        <f>460/61.4</f>
        <v>7.49</v>
      </c>
      <c r="F57" s="292">
        <f t="shared" si="6"/>
        <v>464.75</v>
      </c>
      <c r="G57" s="239"/>
    </row>
    <row r="58" spans="1:8" ht="30" customHeight="1" x14ac:dyDescent="0.25">
      <c r="A58" s="231">
        <v>1334</v>
      </c>
      <c r="B58" s="290" t="s">
        <v>224</v>
      </c>
      <c r="C58" s="231" t="s">
        <v>155</v>
      </c>
      <c r="D58" s="291">
        <f>E75</f>
        <v>21.66</v>
      </c>
      <c r="E58" s="291">
        <v>6.13</v>
      </c>
      <c r="F58" s="292">
        <f t="shared" si="6"/>
        <v>132.78</v>
      </c>
    </row>
    <row r="59" spans="1:8" ht="21.6" x14ac:dyDescent="0.25">
      <c r="A59" s="231">
        <v>1330</v>
      </c>
      <c r="B59" s="290" t="s">
        <v>225</v>
      </c>
      <c r="C59" s="231" t="s">
        <v>155</v>
      </c>
      <c r="D59" s="291">
        <f>E76</f>
        <v>2.69</v>
      </c>
      <c r="E59" s="291">
        <v>5.33</v>
      </c>
      <c r="F59" s="292">
        <f t="shared" si="6"/>
        <v>14.34</v>
      </c>
    </row>
    <row r="60" spans="1:8" ht="21.6" x14ac:dyDescent="0.25">
      <c r="A60" s="294">
        <v>1330</v>
      </c>
      <c r="B60" s="295" t="s">
        <v>226</v>
      </c>
      <c r="C60" s="294" t="s">
        <v>155</v>
      </c>
      <c r="D60" s="297">
        <f>E77</f>
        <v>0.9</v>
      </c>
      <c r="E60" s="292">
        <v>5.33</v>
      </c>
      <c r="F60" s="292">
        <f t="shared" si="6"/>
        <v>4.8</v>
      </c>
    </row>
    <row r="61" spans="1:8" x14ac:dyDescent="0.25">
      <c r="A61" s="231" t="s">
        <v>74</v>
      </c>
      <c r="B61" s="290" t="s">
        <v>348</v>
      </c>
      <c r="C61" s="231" t="s">
        <v>77</v>
      </c>
      <c r="D61" s="291">
        <v>6</v>
      </c>
      <c r="E61" s="291">
        <v>14.99</v>
      </c>
      <c r="F61" s="292">
        <f t="shared" si="6"/>
        <v>89.94</v>
      </c>
    </row>
    <row r="62" spans="1:8" ht="21.6" x14ac:dyDescent="0.25">
      <c r="A62" s="231" t="s">
        <v>74</v>
      </c>
      <c r="B62" s="290" t="s">
        <v>349</v>
      </c>
      <c r="C62" s="231" t="s">
        <v>77</v>
      </c>
      <c r="D62" s="291">
        <v>6</v>
      </c>
      <c r="E62" s="291">
        <v>79.989999999999995</v>
      </c>
      <c r="F62" s="292">
        <f t="shared" si="6"/>
        <v>479.94</v>
      </c>
    </row>
    <row r="63" spans="1:8" x14ac:dyDescent="0.25">
      <c r="A63" s="235"/>
      <c r="B63" s="234"/>
      <c r="C63" s="235"/>
      <c r="D63" s="235"/>
      <c r="E63" s="231"/>
      <c r="F63" s="237">
        <f>SUM(F54:F62)</f>
        <v>1854.87</v>
      </c>
    </row>
    <row r="64" spans="1:8" x14ac:dyDescent="0.25">
      <c r="A64" s="235"/>
      <c r="B64" s="234"/>
      <c r="C64" s="235"/>
      <c r="D64" s="235"/>
      <c r="E64" s="232"/>
      <c r="F64" s="238"/>
    </row>
    <row r="65" spans="1:8" x14ac:dyDescent="0.25">
      <c r="A65" s="255" t="s">
        <v>276</v>
      </c>
      <c r="B65" s="144"/>
      <c r="C65" s="145"/>
      <c r="D65" s="145"/>
      <c r="E65" s="236"/>
      <c r="F65" s="146"/>
    </row>
    <row r="66" spans="1:8" x14ac:dyDescent="0.25">
      <c r="A66" s="258" t="s">
        <v>277</v>
      </c>
      <c r="B66" s="253" t="s">
        <v>286</v>
      </c>
      <c r="C66" s="145"/>
      <c r="D66" s="145"/>
      <c r="E66" s="236"/>
      <c r="F66" s="146"/>
    </row>
    <row r="67" spans="1:8" x14ac:dyDescent="0.25">
      <c r="A67" s="257" t="s">
        <v>278</v>
      </c>
      <c r="B67" s="253" t="s">
        <v>286</v>
      </c>
      <c r="C67" s="145"/>
      <c r="D67" s="145"/>
      <c r="E67" s="236"/>
      <c r="F67" s="146"/>
    </row>
    <row r="68" spans="1:8" x14ac:dyDescent="0.25">
      <c r="A68" s="257" t="s">
        <v>279</v>
      </c>
      <c r="B68" s="144" t="s">
        <v>317</v>
      </c>
      <c r="C68" s="145"/>
      <c r="D68" s="145"/>
      <c r="E68" s="260">
        <f>2144*2</f>
        <v>4288</v>
      </c>
      <c r="F68" s="259" t="s">
        <v>287</v>
      </c>
      <c r="H68" s="254"/>
    </row>
    <row r="69" spans="1:8" x14ac:dyDescent="0.25">
      <c r="A69" s="257"/>
      <c r="B69" s="144" t="s">
        <v>318</v>
      </c>
      <c r="C69" s="145"/>
      <c r="D69" s="145"/>
      <c r="E69" s="260">
        <f>888*2</f>
        <v>1776</v>
      </c>
      <c r="F69" s="259" t="s">
        <v>287</v>
      </c>
      <c r="H69" s="254"/>
    </row>
    <row r="70" spans="1:8" x14ac:dyDescent="0.25">
      <c r="A70" s="257"/>
      <c r="B70" s="253" t="s">
        <v>288</v>
      </c>
      <c r="C70" s="145"/>
      <c r="D70" s="145"/>
      <c r="E70" s="260">
        <f>150+150+120+120</f>
        <v>540</v>
      </c>
      <c r="F70" s="259" t="s">
        <v>287</v>
      </c>
    </row>
    <row r="71" spans="1:8" x14ac:dyDescent="0.25">
      <c r="A71" s="257"/>
      <c r="B71" s="253" t="s">
        <v>300</v>
      </c>
      <c r="C71" s="145"/>
      <c r="D71" s="145"/>
      <c r="E71" s="260">
        <f>540+540</f>
        <v>1080</v>
      </c>
      <c r="F71" s="259" t="s">
        <v>287</v>
      </c>
    </row>
    <row r="72" spans="1:8" x14ac:dyDescent="0.25">
      <c r="A72" s="257"/>
      <c r="B72" s="253" t="s">
        <v>301</v>
      </c>
      <c r="C72" s="145"/>
      <c r="D72" s="145"/>
      <c r="E72" s="260">
        <f>(150+118)*8</f>
        <v>2144</v>
      </c>
      <c r="F72" s="259" t="s">
        <v>287</v>
      </c>
    </row>
    <row r="73" spans="1:8" x14ac:dyDescent="0.25">
      <c r="A73" s="257" t="s">
        <v>294</v>
      </c>
      <c r="B73" s="336" t="s">
        <v>322</v>
      </c>
      <c r="C73" s="336"/>
      <c r="D73" s="336"/>
      <c r="E73" s="261">
        <f>2.144*10.233*2</f>
        <v>43.88</v>
      </c>
      <c r="F73" s="259" t="s">
        <v>28</v>
      </c>
    </row>
    <row r="74" spans="1:8" x14ac:dyDescent="0.25">
      <c r="A74" s="257"/>
      <c r="B74" s="336" t="s">
        <v>323</v>
      </c>
      <c r="C74" s="336"/>
      <c r="D74" s="336"/>
      <c r="E74" s="261">
        <f>0.888*10.233*2</f>
        <v>18.170000000000002</v>
      </c>
      <c r="F74" s="259" t="s">
        <v>28</v>
      </c>
    </row>
    <row r="75" spans="1:8" ht="15.75" customHeight="1" x14ac:dyDescent="0.25">
      <c r="A75" s="257" t="s">
        <v>283</v>
      </c>
      <c r="B75" s="336" t="s">
        <v>302</v>
      </c>
      <c r="C75" s="336"/>
      <c r="D75" s="336"/>
      <c r="E75" s="261">
        <f>0.3*0.58*124.49</f>
        <v>21.66</v>
      </c>
      <c r="F75" s="259" t="s">
        <v>28</v>
      </c>
    </row>
    <row r="76" spans="1:8" x14ac:dyDescent="0.25">
      <c r="A76" s="257" t="s">
        <v>281</v>
      </c>
      <c r="B76" s="337" t="s">
        <v>356</v>
      </c>
      <c r="C76" s="337"/>
      <c r="D76" s="337"/>
      <c r="E76" s="261">
        <f>0.013508*49.79*4</f>
        <v>2.69</v>
      </c>
      <c r="F76" s="259" t="s">
        <v>28</v>
      </c>
    </row>
    <row r="77" spans="1:8" x14ac:dyDescent="0.25">
      <c r="A77" s="257" t="s">
        <v>281</v>
      </c>
      <c r="B77" s="337" t="s">
        <v>303</v>
      </c>
      <c r="C77" s="337"/>
      <c r="D77" s="337"/>
      <c r="E77" s="261">
        <f>0.018*49.79</f>
        <v>0.9</v>
      </c>
      <c r="F77" s="259" t="s">
        <v>28</v>
      </c>
    </row>
    <row r="78" spans="1:8" x14ac:dyDescent="0.25">
      <c r="A78" s="269" t="s">
        <v>294</v>
      </c>
      <c r="B78" s="270" t="s">
        <v>305</v>
      </c>
      <c r="C78" s="235"/>
      <c r="D78" s="235"/>
      <c r="E78" s="261">
        <v>6</v>
      </c>
      <c r="F78" s="259" t="s">
        <v>296</v>
      </c>
    </row>
    <row r="79" spans="1:8" x14ac:dyDescent="0.25">
      <c r="A79" s="257"/>
      <c r="B79" s="253"/>
      <c r="C79" s="145"/>
      <c r="D79" s="145"/>
      <c r="E79" s="272"/>
      <c r="F79" s="238"/>
    </row>
    <row r="80" spans="1:8" ht="20.399999999999999" x14ac:dyDescent="0.25">
      <c r="A80" s="142" t="s">
        <v>161</v>
      </c>
      <c r="B80" s="143" t="s">
        <v>218</v>
      </c>
      <c r="C80" s="142" t="s">
        <v>296</v>
      </c>
      <c r="D80" s="142" t="s">
        <v>164</v>
      </c>
      <c r="E80" s="142" t="s">
        <v>150</v>
      </c>
      <c r="F80" s="142" t="s">
        <v>151</v>
      </c>
    </row>
    <row r="81" spans="1:10" x14ac:dyDescent="0.25">
      <c r="A81" s="231">
        <v>88315</v>
      </c>
      <c r="B81" s="290" t="s">
        <v>153</v>
      </c>
      <c r="C81" s="231" t="s">
        <v>71</v>
      </c>
      <c r="D81" s="291">
        <f>1.3*35.65</f>
        <v>46.35</v>
      </c>
      <c r="E81" s="291">
        <v>18.98</v>
      </c>
      <c r="F81" s="292">
        <f t="shared" ref="F81:F87" si="7">E81*D81</f>
        <v>879.72</v>
      </c>
    </row>
    <row r="82" spans="1:10" x14ac:dyDescent="0.25">
      <c r="A82" s="231">
        <v>88316</v>
      </c>
      <c r="B82" s="290" t="s">
        <v>163</v>
      </c>
      <c r="C82" s="231" t="s">
        <v>71</v>
      </c>
      <c r="D82" s="291">
        <f>1.3*35.65</f>
        <v>46.35</v>
      </c>
      <c r="E82" s="291">
        <v>13.66</v>
      </c>
      <c r="F82" s="292">
        <f t="shared" si="7"/>
        <v>633.14</v>
      </c>
    </row>
    <row r="83" spans="1:10" ht="21.6" x14ac:dyDescent="0.25">
      <c r="A83" s="231">
        <v>98746</v>
      </c>
      <c r="B83" s="290" t="s">
        <v>214</v>
      </c>
      <c r="C83" s="231" t="s">
        <v>87</v>
      </c>
      <c r="D83" s="291">
        <f>SUM(E93:E94)/1000</f>
        <v>30.49</v>
      </c>
      <c r="E83" s="291">
        <v>55.37</v>
      </c>
      <c r="F83" s="292">
        <f t="shared" si="7"/>
        <v>1688.23</v>
      </c>
      <c r="H83" s="240"/>
    </row>
    <row r="84" spans="1:10" ht="46.2" customHeight="1" x14ac:dyDescent="0.25">
      <c r="A84" s="231" t="s">
        <v>74</v>
      </c>
      <c r="B84" s="290" t="s">
        <v>344</v>
      </c>
      <c r="C84" s="231" t="s">
        <v>155</v>
      </c>
      <c r="D84" s="291">
        <f>E95</f>
        <v>551.30999999999995</v>
      </c>
      <c r="E84" s="291">
        <f>460/61.4</f>
        <v>7.49</v>
      </c>
      <c r="F84" s="292">
        <f t="shared" si="7"/>
        <v>4129.3100000000004</v>
      </c>
      <c r="I84" s="239"/>
    </row>
    <row r="85" spans="1:10" ht="30" customHeight="1" x14ac:dyDescent="0.25">
      <c r="A85" s="231">
        <v>11123</v>
      </c>
      <c r="B85" s="290" t="s">
        <v>307</v>
      </c>
      <c r="C85" s="231" t="s">
        <v>155</v>
      </c>
      <c r="D85" s="291">
        <f>E96</f>
        <v>358.22</v>
      </c>
      <c r="E85" s="291">
        <v>34.590000000000003</v>
      </c>
      <c r="F85" s="292">
        <f t="shared" si="7"/>
        <v>12390.83</v>
      </c>
    </row>
    <row r="86" spans="1:10" ht="21.6" x14ac:dyDescent="0.25">
      <c r="A86" s="231">
        <v>4777</v>
      </c>
      <c r="B86" s="290" t="s">
        <v>308</v>
      </c>
      <c r="C86" s="231" t="s">
        <v>155</v>
      </c>
      <c r="D86" s="291">
        <f>E97</f>
        <v>245.51</v>
      </c>
      <c r="E86" s="291">
        <v>4.38</v>
      </c>
      <c r="F86" s="292">
        <f t="shared" si="7"/>
        <v>1075.33</v>
      </c>
      <c r="J86" s="239"/>
    </row>
    <row r="87" spans="1:10" ht="21.6" x14ac:dyDescent="0.25">
      <c r="A87" s="231">
        <v>40547</v>
      </c>
      <c r="B87" s="290" t="s">
        <v>313</v>
      </c>
      <c r="C87" s="231" t="s">
        <v>312</v>
      </c>
      <c r="D87" s="291">
        <v>12.15</v>
      </c>
      <c r="E87" s="291">
        <v>11.36</v>
      </c>
      <c r="F87" s="292">
        <f t="shared" si="7"/>
        <v>138.02000000000001</v>
      </c>
      <c r="J87" s="239"/>
    </row>
    <row r="88" spans="1:10" x14ac:dyDescent="0.25">
      <c r="A88" s="235"/>
      <c r="B88" s="234"/>
      <c r="C88" s="235"/>
      <c r="D88" s="235"/>
      <c r="E88" s="256"/>
      <c r="F88" s="276">
        <f>SUM(F81:F87)</f>
        <v>20934.580000000002</v>
      </c>
      <c r="H88" s="239"/>
    </row>
    <row r="89" spans="1:10" x14ac:dyDescent="0.25">
      <c r="A89" s="235"/>
      <c r="B89" s="234"/>
      <c r="C89" s="235"/>
      <c r="D89" s="235"/>
      <c r="E89" s="232"/>
      <c r="F89" s="238"/>
    </row>
    <row r="90" spans="1:10" x14ac:dyDescent="0.25">
      <c r="A90" s="262" t="s">
        <v>276</v>
      </c>
      <c r="B90" s="234"/>
      <c r="C90" s="235"/>
      <c r="D90" s="235"/>
      <c r="E90" s="232"/>
      <c r="F90" s="238"/>
    </row>
    <row r="91" spans="1:10" x14ac:dyDescent="0.25">
      <c r="A91" s="271" t="s">
        <v>277</v>
      </c>
      <c r="B91" s="270" t="s">
        <v>351</v>
      </c>
      <c r="C91" s="235"/>
      <c r="D91" s="235"/>
      <c r="E91" s="232"/>
      <c r="F91" s="238"/>
    </row>
    <row r="92" spans="1:10" x14ac:dyDescent="0.25">
      <c r="A92" s="269" t="s">
        <v>278</v>
      </c>
      <c r="B92" s="289" t="s">
        <v>351</v>
      </c>
      <c r="C92" s="235"/>
      <c r="D92" s="235"/>
      <c r="E92" s="232"/>
      <c r="F92" s="238"/>
    </row>
    <row r="93" spans="1:10" x14ac:dyDescent="0.25">
      <c r="A93" s="269" t="s">
        <v>279</v>
      </c>
      <c r="B93" s="270" t="s">
        <v>319</v>
      </c>
      <c r="C93" s="235"/>
      <c r="D93" s="235"/>
      <c r="E93" s="268">
        <f>((120+120+60+60)*2)*13</f>
        <v>9360</v>
      </c>
      <c r="F93" s="267" t="s">
        <v>287</v>
      </c>
      <c r="H93" s="254"/>
    </row>
    <row r="94" spans="1:10" x14ac:dyDescent="0.25">
      <c r="A94" s="269"/>
      <c r="B94" s="270" t="s">
        <v>329</v>
      </c>
      <c r="C94" s="235"/>
      <c r="D94" s="235"/>
      <c r="E94" s="277">
        <f>50.8*8*52</f>
        <v>21133</v>
      </c>
      <c r="F94" s="267" t="s">
        <v>287</v>
      </c>
      <c r="H94" s="254"/>
    </row>
    <row r="95" spans="1:10" x14ac:dyDescent="0.25">
      <c r="A95" s="269" t="s">
        <v>282</v>
      </c>
      <c r="B95" s="336" t="s">
        <v>306</v>
      </c>
      <c r="C95" s="336"/>
      <c r="D95" s="336"/>
      <c r="E95" s="274">
        <f>53.876*10.233</f>
        <v>551.30999999999995</v>
      </c>
      <c r="F95" s="267" t="s">
        <v>28</v>
      </c>
    </row>
    <row r="96" spans="1:10" x14ac:dyDescent="0.25">
      <c r="A96" s="269" t="s">
        <v>309</v>
      </c>
      <c r="B96" s="336" t="s">
        <v>310</v>
      </c>
      <c r="C96" s="336"/>
      <c r="D96" s="336"/>
      <c r="E96" s="274">
        <f>1.28*25.913*10.8</f>
        <v>358.22</v>
      </c>
      <c r="F96" s="267" t="s">
        <v>28</v>
      </c>
    </row>
    <row r="97" spans="1:9" x14ac:dyDescent="0.25">
      <c r="A97" s="269" t="s">
        <v>311</v>
      </c>
      <c r="B97" s="270" t="s">
        <v>327</v>
      </c>
      <c r="C97" s="270"/>
      <c r="D97" s="270"/>
      <c r="E97" s="274">
        <f>1.29*52*3.66</f>
        <v>245.51</v>
      </c>
      <c r="F97" s="267" t="s">
        <v>28</v>
      </c>
    </row>
    <row r="98" spans="1:9" x14ac:dyDescent="0.25">
      <c r="A98" s="269"/>
      <c r="B98" s="270" t="s">
        <v>328</v>
      </c>
      <c r="C98" s="270"/>
      <c r="D98" s="270"/>
      <c r="E98" s="277">
        <v>52</v>
      </c>
      <c r="F98" s="267" t="s">
        <v>296</v>
      </c>
    </row>
    <row r="99" spans="1:9" x14ac:dyDescent="0.25">
      <c r="A99" s="269" t="s">
        <v>314</v>
      </c>
      <c r="B99" s="270" t="s">
        <v>357</v>
      </c>
      <c r="C99" s="235"/>
      <c r="D99" s="235"/>
      <c r="E99" s="274">
        <f>(25.913+1.3+25.16+1.503+52*1.3)/0.1</f>
        <v>1214.76</v>
      </c>
      <c r="F99" s="267" t="s">
        <v>296</v>
      </c>
    </row>
    <row r="100" spans="1:9" x14ac:dyDescent="0.25">
      <c r="A100" s="269"/>
      <c r="B100" s="270"/>
      <c r="C100" s="235"/>
      <c r="D100" s="235"/>
      <c r="E100" s="232"/>
      <c r="F100" s="238"/>
    </row>
    <row r="101" spans="1:9" ht="20.399999999999999" x14ac:dyDescent="0.25">
      <c r="A101" s="142" t="s">
        <v>162</v>
      </c>
      <c r="B101" s="143" t="s">
        <v>219</v>
      </c>
      <c r="C101" s="142" t="s">
        <v>296</v>
      </c>
      <c r="D101" s="142" t="s">
        <v>164</v>
      </c>
      <c r="E101" s="142" t="s">
        <v>150</v>
      </c>
      <c r="F101" s="142" t="s">
        <v>151</v>
      </c>
    </row>
    <row r="102" spans="1:9" x14ac:dyDescent="0.25">
      <c r="A102" s="231">
        <v>88315</v>
      </c>
      <c r="B102" s="290" t="s">
        <v>153</v>
      </c>
      <c r="C102" s="231" t="s">
        <v>71</v>
      </c>
      <c r="D102" s="291">
        <v>1</v>
      </c>
      <c r="E102" s="291">
        <v>18.98</v>
      </c>
      <c r="F102" s="292">
        <f t="shared" ref="F102:F105" si="8">E102*D102</f>
        <v>18.98</v>
      </c>
    </row>
    <row r="103" spans="1:9" x14ac:dyDescent="0.25">
      <c r="A103" s="231">
        <v>88316</v>
      </c>
      <c r="B103" s="290" t="s">
        <v>163</v>
      </c>
      <c r="C103" s="231" t="s">
        <v>71</v>
      </c>
      <c r="D103" s="291">
        <v>1</v>
      </c>
      <c r="E103" s="291">
        <v>13.66</v>
      </c>
      <c r="F103" s="292">
        <f t="shared" si="8"/>
        <v>13.66</v>
      </c>
    </row>
    <row r="104" spans="1:9" ht="21.6" x14ac:dyDescent="0.25">
      <c r="A104" s="231">
        <v>98746</v>
      </c>
      <c r="B104" s="290" t="s">
        <v>214</v>
      </c>
      <c r="C104" s="231" t="s">
        <v>87</v>
      </c>
      <c r="D104" s="291">
        <f>SUM(E111:E112)/1000</f>
        <v>8.3000000000000007</v>
      </c>
      <c r="E104" s="291">
        <v>55.37</v>
      </c>
      <c r="F104" s="292">
        <f t="shared" si="8"/>
        <v>459.57</v>
      </c>
      <c r="H104" s="240"/>
    </row>
    <row r="105" spans="1:9" ht="46.8" customHeight="1" x14ac:dyDescent="0.25">
      <c r="A105" s="231" t="s">
        <v>74</v>
      </c>
      <c r="B105" s="290" t="s">
        <v>345</v>
      </c>
      <c r="C105" s="231" t="s">
        <v>155</v>
      </c>
      <c r="D105" s="291">
        <f>E113</f>
        <v>29.34</v>
      </c>
      <c r="E105" s="291">
        <f>250/23.47</f>
        <v>10.65</v>
      </c>
      <c r="F105" s="292">
        <f t="shared" si="8"/>
        <v>312.47000000000003</v>
      </c>
      <c r="H105" s="239"/>
    </row>
    <row r="106" spans="1:9" x14ac:dyDescent="0.25">
      <c r="A106" s="235"/>
      <c r="B106" s="234"/>
      <c r="C106" s="235"/>
      <c r="D106" s="235"/>
      <c r="E106" s="231"/>
      <c r="F106" s="237">
        <f>SUM(F102:F105)</f>
        <v>804.68</v>
      </c>
      <c r="I106" s="239"/>
    </row>
    <row r="107" spans="1:9" x14ac:dyDescent="0.25">
      <c r="A107" s="235"/>
      <c r="B107" s="234"/>
      <c r="C107" s="235"/>
      <c r="D107" s="235"/>
      <c r="E107" s="232"/>
      <c r="F107" s="238"/>
    </row>
    <row r="108" spans="1:9" x14ac:dyDescent="0.25">
      <c r="A108" s="262" t="s">
        <v>276</v>
      </c>
      <c r="B108" s="234"/>
      <c r="C108" s="235"/>
      <c r="D108" s="235"/>
      <c r="E108" s="232"/>
      <c r="F108" s="238"/>
    </row>
    <row r="109" spans="1:9" x14ac:dyDescent="0.25">
      <c r="A109" s="271" t="s">
        <v>277</v>
      </c>
      <c r="B109" s="270" t="s">
        <v>326</v>
      </c>
      <c r="C109" s="235"/>
      <c r="D109" s="235"/>
      <c r="E109" s="232"/>
      <c r="F109" s="238"/>
    </row>
    <row r="110" spans="1:9" x14ac:dyDescent="0.25">
      <c r="A110" s="269" t="s">
        <v>278</v>
      </c>
      <c r="B110" s="270" t="s">
        <v>326</v>
      </c>
      <c r="C110" s="235"/>
      <c r="D110" s="235"/>
      <c r="E110" s="232"/>
      <c r="F110" s="238"/>
    </row>
    <row r="111" spans="1:9" x14ac:dyDescent="0.25">
      <c r="A111" s="269" t="s">
        <v>279</v>
      </c>
      <c r="B111" s="234" t="s">
        <v>324</v>
      </c>
      <c r="C111" s="235"/>
      <c r="D111" s="235"/>
      <c r="E111" s="272">
        <f>3750*2</f>
        <v>7500</v>
      </c>
      <c r="F111" s="267" t="s">
        <v>287</v>
      </c>
    </row>
    <row r="112" spans="1:9" x14ac:dyDescent="0.25">
      <c r="A112" s="269"/>
      <c r="B112" s="270" t="s">
        <v>350</v>
      </c>
      <c r="C112" s="235"/>
      <c r="D112" s="235"/>
      <c r="E112" s="272">
        <f>(100+100+100+100)*2</f>
        <v>800</v>
      </c>
      <c r="F112" s="267" t="s">
        <v>287</v>
      </c>
    </row>
    <row r="113" spans="1:11" x14ac:dyDescent="0.25">
      <c r="A113" s="269" t="s">
        <v>282</v>
      </c>
      <c r="B113" s="336" t="s">
        <v>325</v>
      </c>
      <c r="C113" s="336"/>
      <c r="D113" s="336"/>
      <c r="E113" s="273">
        <f>3.75*3.912*2</f>
        <v>29.34</v>
      </c>
      <c r="F113" s="267" t="s">
        <v>28</v>
      </c>
      <c r="H113" s="288"/>
    </row>
    <row r="114" spans="1:11" x14ac:dyDescent="0.25">
      <c r="A114" s="235"/>
      <c r="B114" s="234"/>
      <c r="C114" s="235"/>
      <c r="D114" s="235"/>
      <c r="E114" s="232"/>
      <c r="F114" s="238"/>
    </row>
    <row r="115" spans="1:11" ht="20.399999999999999" x14ac:dyDescent="0.25">
      <c r="A115" s="142" t="s">
        <v>165</v>
      </c>
      <c r="B115" s="143" t="s">
        <v>227</v>
      </c>
      <c r="C115" s="142" t="s">
        <v>87</v>
      </c>
      <c r="D115" s="142" t="s">
        <v>164</v>
      </c>
      <c r="E115" s="142" t="s">
        <v>150</v>
      </c>
      <c r="F115" s="142" t="s">
        <v>151</v>
      </c>
    </row>
    <row r="116" spans="1:11" x14ac:dyDescent="0.25">
      <c r="A116" s="231">
        <v>88315</v>
      </c>
      <c r="B116" s="290" t="s">
        <v>153</v>
      </c>
      <c r="C116" s="231" t="s">
        <v>71</v>
      </c>
      <c r="D116" s="291">
        <f>(7.97/4.1656)*9.8916</f>
        <v>18.93</v>
      </c>
      <c r="E116" s="291">
        <v>18.98</v>
      </c>
      <c r="F116" s="292">
        <f t="shared" ref="F116:F118" si="9">E116*D116</f>
        <v>359.29</v>
      </c>
    </row>
    <row r="117" spans="1:11" x14ac:dyDescent="0.25">
      <c r="A117" s="231">
        <v>88316</v>
      </c>
      <c r="B117" s="290" t="s">
        <v>163</v>
      </c>
      <c r="C117" s="231" t="s">
        <v>71</v>
      </c>
      <c r="D117" s="291">
        <f>(7.97/4.1656)*0.1473</f>
        <v>0.28000000000000003</v>
      </c>
      <c r="E117" s="291">
        <v>13.66</v>
      </c>
      <c r="F117" s="292">
        <f t="shared" si="9"/>
        <v>3.82</v>
      </c>
    </row>
    <row r="118" spans="1:11" ht="21.6" x14ac:dyDescent="0.25">
      <c r="A118" s="231">
        <v>98746</v>
      </c>
      <c r="B118" s="290" t="s">
        <v>214</v>
      </c>
      <c r="C118" s="231" t="s">
        <v>87</v>
      </c>
      <c r="D118" s="298">
        <f>SUM(E126:E128)/1000</f>
        <v>3.0000000000000001E-3</v>
      </c>
      <c r="E118" s="291">
        <v>55.37</v>
      </c>
      <c r="F118" s="292">
        <f t="shared" si="9"/>
        <v>0.17</v>
      </c>
    </row>
    <row r="119" spans="1:11" ht="42.75" customHeight="1" x14ac:dyDescent="0.25">
      <c r="A119" s="231" t="s">
        <v>166</v>
      </c>
      <c r="B119" s="290" t="s">
        <v>228</v>
      </c>
      <c r="C119" s="231" t="s">
        <v>87</v>
      </c>
      <c r="D119" s="299">
        <f>E129</f>
        <v>1.97</v>
      </c>
      <c r="E119" s="300">
        <v>29.31</v>
      </c>
      <c r="F119" s="301">
        <f>E119*D119</f>
        <v>57.74</v>
      </c>
      <c r="H119" s="287"/>
      <c r="I119" s="287"/>
      <c r="J119" s="287"/>
      <c r="K119" s="287"/>
    </row>
    <row r="120" spans="1:11" ht="32.4" x14ac:dyDescent="0.25">
      <c r="A120" s="231">
        <v>7700</v>
      </c>
      <c r="B120" s="290" t="s">
        <v>229</v>
      </c>
      <c r="C120" s="231" t="s">
        <v>87</v>
      </c>
      <c r="D120" s="299">
        <f>E130</f>
        <v>6</v>
      </c>
      <c r="E120" s="300">
        <v>13.48</v>
      </c>
      <c r="F120" s="301">
        <f>E120*D120</f>
        <v>80.88</v>
      </c>
      <c r="H120" s="287"/>
      <c r="I120" s="287"/>
      <c r="J120" s="287"/>
      <c r="K120" s="287"/>
    </row>
    <row r="121" spans="1:11" x14ac:dyDescent="0.25">
      <c r="A121" s="235" t="s">
        <v>167</v>
      </c>
      <c r="B121" s="278"/>
      <c r="C121" s="279"/>
      <c r="D121" s="279"/>
      <c r="E121" s="302"/>
      <c r="F121" s="303">
        <f>SUM(F116:F120)</f>
        <v>501.9</v>
      </c>
    </row>
    <row r="122" spans="1:11" x14ac:dyDescent="0.25">
      <c r="A122" s="235"/>
      <c r="B122" s="278"/>
      <c r="C122" s="279"/>
      <c r="D122" s="279"/>
      <c r="E122" s="235"/>
      <c r="F122" s="280"/>
    </row>
    <row r="123" spans="1:11" x14ac:dyDescent="0.25">
      <c r="A123" s="262" t="s">
        <v>276</v>
      </c>
      <c r="B123" s="234"/>
      <c r="C123" s="235"/>
      <c r="D123" s="235"/>
      <c r="E123" s="232"/>
      <c r="F123" s="238"/>
    </row>
    <row r="124" spans="1:11" x14ac:dyDescent="0.25">
      <c r="A124" s="306" t="s">
        <v>277</v>
      </c>
      <c r="B124" s="307" t="s">
        <v>332</v>
      </c>
      <c r="C124" s="308"/>
      <c r="D124" s="308"/>
      <c r="E124" s="232"/>
      <c r="F124" s="238"/>
    </row>
    <row r="125" spans="1:11" x14ac:dyDescent="0.25">
      <c r="A125" s="309" t="s">
        <v>278</v>
      </c>
      <c r="B125" s="307" t="s">
        <v>333</v>
      </c>
      <c r="C125" s="308"/>
      <c r="D125" s="308"/>
      <c r="E125" s="232"/>
      <c r="F125" s="238"/>
      <c r="H125" s="282"/>
    </row>
    <row r="126" spans="1:11" ht="18" customHeight="1" x14ac:dyDescent="0.25">
      <c r="A126" s="309" t="s">
        <v>279</v>
      </c>
      <c r="B126" s="338" t="s">
        <v>358</v>
      </c>
      <c r="C126" s="338"/>
      <c r="D126" s="338"/>
      <c r="E126" s="281">
        <f>0.8773*23/25.95</f>
        <v>0.77759999999999996</v>
      </c>
      <c r="F126" s="267" t="s">
        <v>287</v>
      </c>
      <c r="G126" s="139">
        <f>2*3.14*(0.2794/2)</f>
        <v>0.87731599999999998</v>
      </c>
      <c r="H126" s="139">
        <f>2*3.14*(0.01905/2)</f>
        <v>5.9817000000000002E-2</v>
      </c>
    </row>
    <row r="127" spans="1:11" ht="21.6" customHeight="1" x14ac:dyDescent="0.25">
      <c r="A127" s="309"/>
      <c r="B127" s="339" t="s">
        <v>359</v>
      </c>
      <c r="C127" s="339"/>
      <c r="D127" s="339"/>
      <c r="E127" s="281">
        <f>0.8773*2*22/25.95</f>
        <v>1.4875</v>
      </c>
      <c r="F127" s="267" t="s">
        <v>287</v>
      </c>
    </row>
    <row r="128" spans="1:11" ht="24.6" customHeight="1" x14ac:dyDescent="0.25">
      <c r="A128" s="309"/>
      <c r="B128" s="339" t="s">
        <v>360</v>
      </c>
      <c r="C128" s="339"/>
      <c r="D128" s="339"/>
      <c r="E128" s="281">
        <f>0.0598*2*6*22/25.95</f>
        <v>0.60840000000000005</v>
      </c>
      <c r="F128" s="267" t="s">
        <v>287</v>
      </c>
    </row>
    <row r="129" spans="1:8" ht="15.75" customHeight="1" x14ac:dyDescent="0.25">
      <c r="A129" s="309" t="s">
        <v>330</v>
      </c>
      <c r="B129" s="307" t="s">
        <v>361</v>
      </c>
      <c r="C129" s="307"/>
      <c r="D129" s="307"/>
      <c r="E129" s="273">
        <f>(25.95+23*1.1)/25.95</f>
        <v>1.97</v>
      </c>
      <c r="F129" s="267" t="s">
        <v>3</v>
      </c>
    </row>
    <row r="130" spans="1:8" x14ac:dyDescent="0.25">
      <c r="A130" s="309" t="s">
        <v>331</v>
      </c>
      <c r="B130" s="338" t="s">
        <v>362</v>
      </c>
      <c r="C130" s="338"/>
      <c r="D130" s="338"/>
      <c r="E130" s="273">
        <v>6</v>
      </c>
      <c r="F130" s="267" t="s">
        <v>3</v>
      </c>
    </row>
    <row r="131" spans="1:8" ht="20.399999999999999" x14ac:dyDescent="0.25">
      <c r="A131" s="142" t="s">
        <v>178</v>
      </c>
      <c r="B131" s="143" t="s">
        <v>230</v>
      </c>
      <c r="C131" s="142" t="s">
        <v>87</v>
      </c>
      <c r="D131" s="142" t="s">
        <v>164</v>
      </c>
      <c r="E131" s="142" t="s">
        <v>150</v>
      </c>
      <c r="F131" s="142" t="s">
        <v>151</v>
      </c>
    </row>
    <row r="132" spans="1:8" x14ac:dyDescent="0.25">
      <c r="A132" s="231">
        <v>88315</v>
      </c>
      <c r="B132" s="290" t="s">
        <v>153</v>
      </c>
      <c r="C132" s="231" t="s">
        <v>71</v>
      </c>
      <c r="D132" s="291">
        <f>D116*1.1</f>
        <v>20.82</v>
      </c>
      <c r="E132" s="291">
        <v>18.98</v>
      </c>
      <c r="F132" s="292">
        <f t="shared" ref="F132:F134" si="10">E132*D132</f>
        <v>395.16</v>
      </c>
    </row>
    <row r="133" spans="1:8" x14ac:dyDescent="0.25">
      <c r="A133" s="231">
        <v>88316</v>
      </c>
      <c r="B133" s="290" t="s">
        <v>163</v>
      </c>
      <c r="C133" s="231" t="s">
        <v>71</v>
      </c>
      <c r="D133" s="291">
        <f>D117*1.1</f>
        <v>0.31</v>
      </c>
      <c r="E133" s="291">
        <v>13.66</v>
      </c>
      <c r="F133" s="292">
        <f t="shared" si="10"/>
        <v>4.2300000000000004</v>
      </c>
    </row>
    <row r="134" spans="1:8" ht="21.6" x14ac:dyDescent="0.25">
      <c r="A134" s="231">
        <v>98746</v>
      </c>
      <c r="B134" s="290" t="s">
        <v>214</v>
      </c>
      <c r="C134" s="231" t="s">
        <v>87</v>
      </c>
      <c r="D134" s="298">
        <f>SUM(E144:E145)/1000</f>
        <v>2E-3</v>
      </c>
      <c r="E134" s="291">
        <v>55.37</v>
      </c>
      <c r="F134" s="292">
        <f t="shared" si="10"/>
        <v>0.11</v>
      </c>
    </row>
    <row r="135" spans="1:8" ht="43.5" customHeight="1" x14ac:dyDescent="0.25">
      <c r="A135" s="231" t="s">
        <v>166</v>
      </c>
      <c r="B135" s="290" t="s">
        <v>231</v>
      </c>
      <c r="C135" s="231" t="s">
        <v>87</v>
      </c>
      <c r="D135" s="299">
        <f>E146</f>
        <v>1.98</v>
      </c>
      <c r="E135" s="300">
        <v>29.31</v>
      </c>
      <c r="F135" s="301">
        <f>E135*D135</f>
        <v>58.03</v>
      </c>
      <c r="H135" s="287"/>
    </row>
    <row r="136" spans="1:8" ht="32.4" x14ac:dyDescent="0.25">
      <c r="A136" s="231">
        <v>7700</v>
      </c>
      <c r="B136" s="290" t="s">
        <v>232</v>
      </c>
      <c r="C136" s="231" t="s">
        <v>87</v>
      </c>
      <c r="D136" s="299">
        <v>6</v>
      </c>
      <c r="E136" s="300">
        <v>13.48</v>
      </c>
      <c r="F136" s="301">
        <f>E136*D136</f>
        <v>80.88</v>
      </c>
      <c r="H136" s="287"/>
    </row>
    <row r="137" spans="1:8" ht="21.6" x14ac:dyDescent="0.25">
      <c r="A137" s="231">
        <v>1330</v>
      </c>
      <c r="B137" s="290" t="s">
        <v>233</v>
      </c>
      <c r="C137" s="231" t="s">
        <v>155</v>
      </c>
      <c r="D137" s="291">
        <f>E148</f>
        <v>1</v>
      </c>
      <c r="E137" s="291">
        <v>5.33</v>
      </c>
      <c r="F137" s="292">
        <f t="shared" ref="F137" si="11">E137*D137</f>
        <v>5.33</v>
      </c>
    </row>
    <row r="138" spans="1:8" x14ac:dyDescent="0.25">
      <c r="A138" s="231" t="s">
        <v>74</v>
      </c>
      <c r="B138" s="290" t="s">
        <v>346</v>
      </c>
      <c r="C138" s="231" t="s">
        <v>77</v>
      </c>
      <c r="D138" s="291">
        <f>E149</f>
        <v>3.41</v>
      </c>
      <c r="E138" s="291">
        <v>15.66</v>
      </c>
      <c r="F138" s="292">
        <f t="shared" ref="F138" si="12">E138*D138</f>
        <v>53.4</v>
      </c>
    </row>
    <row r="139" spans="1:8" x14ac:dyDescent="0.25">
      <c r="A139" s="235" t="s">
        <v>167</v>
      </c>
      <c r="B139" s="278"/>
      <c r="C139" s="279"/>
      <c r="D139" s="279"/>
      <c r="E139" s="302"/>
      <c r="F139" s="303">
        <f>SUM(F132:F138)</f>
        <v>597.14</v>
      </c>
    </row>
    <row r="140" spans="1:8" x14ac:dyDescent="0.25">
      <c r="A140" s="235"/>
      <c r="B140" s="278"/>
      <c r="C140" s="279"/>
      <c r="D140" s="279"/>
      <c r="E140" s="235"/>
      <c r="F140" s="280"/>
    </row>
    <row r="141" spans="1:8" x14ac:dyDescent="0.25">
      <c r="A141" s="262" t="s">
        <v>276</v>
      </c>
      <c r="B141" s="234"/>
      <c r="C141" s="235"/>
      <c r="D141" s="235"/>
      <c r="E141" s="232"/>
      <c r="F141" s="238"/>
    </row>
    <row r="142" spans="1:8" x14ac:dyDescent="0.25">
      <c r="A142" s="271" t="s">
        <v>277</v>
      </c>
      <c r="B142" s="270" t="s">
        <v>337</v>
      </c>
      <c r="C142" s="235"/>
      <c r="D142" s="235"/>
      <c r="E142" s="232"/>
      <c r="F142" s="238"/>
    </row>
    <row r="143" spans="1:8" x14ac:dyDescent="0.25">
      <c r="A143" s="269" t="s">
        <v>278</v>
      </c>
      <c r="B143" s="270" t="s">
        <v>338</v>
      </c>
      <c r="C143" s="235"/>
      <c r="D143" s="235"/>
      <c r="E143" s="232"/>
      <c r="F143" s="238"/>
    </row>
    <row r="144" spans="1:8" ht="22.2" customHeight="1" x14ac:dyDescent="0.25">
      <c r="A144" s="269" t="s">
        <v>279</v>
      </c>
      <c r="B144" s="336" t="s">
        <v>363</v>
      </c>
      <c r="C144" s="336"/>
      <c r="D144" s="336"/>
      <c r="E144" s="281">
        <f>0.8773*2*23/27</f>
        <v>1.4946999999999999</v>
      </c>
      <c r="F144" s="267" t="s">
        <v>287</v>
      </c>
    </row>
    <row r="145" spans="1:6" ht="21.6" customHeight="1" x14ac:dyDescent="0.25">
      <c r="A145" s="269"/>
      <c r="B145" s="336" t="s">
        <v>364</v>
      </c>
      <c r="C145" s="336"/>
      <c r="D145" s="336"/>
      <c r="E145" s="281">
        <f>0.0598*2*6*23/27</f>
        <v>0.61129999999999995</v>
      </c>
      <c r="F145" s="267" t="s">
        <v>287</v>
      </c>
    </row>
    <row r="146" spans="1:6" x14ac:dyDescent="0.25">
      <c r="A146" s="269" t="s">
        <v>330</v>
      </c>
      <c r="B146" s="270" t="s">
        <v>335</v>
      </c>
      <c r="C146" s="270"/>
      <c r="D146" s="270"/>
      <c r="E146" s="273">
        <f>(27+24*1.1)/27</f>
        <v>1.98</v>
      </c>
      <c r="F146" s="267" t="s">
        <v>3</v>
      </c>
    </row>
    <row r="147" spans="1:6" x14ac:dyDescent="0.25">
      <c r="A147" s="269" t="s">
        <v>331</v>
      </c>
      <c r="B147" s="337" t="s">
        <v>334</v>
      </c>
      <c r="C147" s="337"/>
      <c r="D147" s="337"/>
      <c r="E147" s="273">
        <v>6</v>
      </c>
      <c r="F147" s="267" t="s">
        <v>3</v>
      </c>
    </row>
    <row r="148" spans="1:6" x14ac:dyDescent="0.25">
      <c r="A148" s="269" t="s">
        <v>281</v>
      </c>
      <c r="B148" s="337" t="s">
        <v>340</v>
      </c>
      <c r="C148" s="337"/>
      <c r="D148" s="337"/>
      <c r="E148" s="273">
        <f>0.15*0.15*49.79*24/27</f>
        <v>1</v>
      </c>
      <c r="F148" s="267" t="s">
        <v>28</v>
      </c>
    </row>
    <row r="149" spans="1:6" x14ac:dyDescent="0.25">
      <c r="A149" s="269" t="s">
        <v>294</v>
      </c>
      <c r="B149" s="337" t="s">
        <v>336</v>
      </c>
      <c r="C149" s="337"/>
      <c r="D149" s="337"/>
      <c r="E149" s="273">
        <f>4*23/27</f>
        <v>3.41</v>
      </c>
      <c r="F149" s="267" t="s">
        <v>296</v>
      </c>
    </row>
    <row r="150" spans="1:6" x14ac:dyDescent="0.25">
      <c r="A150" s="235"/>
      <c r="B150" s="278"/>
      <c r="C150" s="279"/>
      <c r="D150" s="279"/>
      <c r="E150" s="235"/>
      <c r="F150" s="280"/>
    </row>
    <row r="151" spans="1:6" x14ac:dyDescent="0.25">
      <c r="A151" s="142" t="s">
        <v>179</v>
      </c>
      <c r="B151" s="143" t="s">
        <v>205</v>
      </c>
      <c r="C151" s="142" t="s">
        <v>77</v>
      </c>
      <c r="D151" s="142" t="s">
        <v>164</v>
      </c>
      <c r="E151" s="142" t="s">
        <v>150</v>
      </c>
      <c r="F151" s="142" t="s">
        <v>151</v>
      </c>
    </row>
    <row r="152" spans="1:6" ht="21.6" x14ac:dyDescent="0.25">
      <c r="A152" s="231">
        <v>90778</v>
      </c>
      <c r="B152" s="290" t="s">
        <v>70</v>
      </c>
      <c r="C152" s="231" t="s">
        <v>71</v>
      </c>
      <c r="D152" s="299">
        <v>40</v>
      </c>
      <c r="E152" s="300">
        <v>83.55</v>
      </c>
      <c r="F152" s="301">
        <f>E152*D152</f>
        <v>3342</v>
      </c>
    </row>
    <row r="153" spans="1:6" ht="21.6" x14ac:dyDescent="0.25">
      <c r="A153" s="231">
        <v>90776</v>
      </c>
      <c r="B153" s="290" t="s">
        <v>239</v>
      </c>
      <c r="C153" s="231" t="s">
        <v>71</v>
      </c>
      <c r="D153" s="299">
        <v>80</v>
      </c>
      <c r="E153" s="300">
        <v>24.37</v>
      </c>
      <c r="F153" s="301">
        <f>E153*D153</f>
        <v>1949.6</v>
      </c>
    </row>
    <row r="154" spans="1:6" x14ac:dyDescent="0.25">
      <c r="A154" s="235"/>
      <c r="B154" s="278"/>
      <c r="C154" s="279"/>
      <c r="D154" s="279"/>
      <c r="E154" s="283"/>
      <c r="F154" s="284">
        <f>SUM(F152:F153)</f>
        <v>5291.6</v>
      </c>
    </row>
    <row r="155" spans="1:6" ht="9.6" customHeight="1" x14ac:dyDescent="0.25">
      <c r="A155" s="235"/>
      <c r="B155" s="278"/>
      <c r="C155" s="279"/>
      <c r="D155" s="279"/>
      <c r="E155" s="235"/>
      <c r="F155" s="280"/>
    </row>
    <row r="156" spans="1:6" x14ac:dyDescent="0.25">
      <c r="A156" s="269"/>
      <c r="B156" s="270"/>
      <c r="C156" s="235"/>
      <c r="D156" s="235"/>
      <c r="E156" s="232"/>
      <c r="F156" s="238"/>
    </row>
    <row r="157" spans="1:6" ht="6" customHeight="1" x14ac:dyDescent="0.25">
      <c r="A157" s="279"/>
      <c r="B157" s="278"/>
      <c r="C157" s="279"/>
      <c r="D157" s="279"/>
      <c r="E157" s="279"/>
      <c r="F157" s="279"/>
    </row>
    <row r="158" spans="1:6" ht="12.75" customHeight="1" x14ac:dyDescent="0.25">
      <c r="A158" s="279"/>
      <c r="B158" s="285" t="s">
        <v>182</v>
      </c>
      <c r="C158" s="279"/>
      <c r="D158" s="279"/>
      <c r="E158" s="279"/>
      <c r="F158" s="279"/>
    </row>
    <row r="159" spans="1:6" x14ac:dyDescent="0.25">
      <c r="A159" s="279"/>
      <c r="B159" s="286" t="s">
        <v>183</v>
      </c>
      <c r="C159" s="279"/>
      <c r="D159" s="279"/>
      <c r="E159" s="279"/>
      <c r="F159" s="279"/>
    </row>
  </sheetData>
  <autoFilter ref="A1:A159" xr:uid="{21785C39-3DAD-4250-9B4E-09B047E979BE}"/>
  <mergeCells count="27">
    <mergeCell ref="B130:D130"/>
    <mergeCell ref="B147:D147"/>
    <mergeCell ref="B148:D148"/>
    <mergeCell ref="B149:D149"/>
    <mergeCell ref="B95:D95"/>
    <mergeCell ref="B96:D96"/>
    <mergeCell ref="B113:D113"/>
    <mergeCell ref="B127:D127"/>
    <mergeCell ref="B126:D126"/>
    <mergeCell ref="B128:D128"/>
    <mergeCell ref="B144:D144"/>
    <mergeCell ref="B145:D145"/>
    <mergeCell ref="B75:D75"/>
    <mergeCell ref="B76:D76"/>
    <mergeCell ref="B77:D77"/>
    <mergeCell ref="B74:D74"/>
    <mergeCell ref="B73:D73"/>
    <mergeCell ref="A1:F1"/>
    <mergeCell ref="B47:D47"/>
    <mergeCell ref="B48:D48"/>
    <mergeCell ref="B49:D49"/>
    <mergeCell ref="B50:D50"/>
    <mergeCell ref="B42:D42"/>
    <mergeCell ref="B43:D43"/>
    <mergeCell ref="B44:D44"/>
    <mergeCell ref="B45:D45"/>
    <mergeCell ref="B46:D46"/>
  </mergeCells>
  <conditionalFormatting sqref="F33:F35">
    <cfRule type="expression" dxfId="206" priority="393" stopIfTrue="1">
      <formula>AND(#REF!&lt;&gt;"COMPOSICAO",#REF!&lt;&gt;"INSUMO",#REF!&lt;&gt;"")</formula>
    </cfRule>
    <cfRule type="expression" dxfId="205" priority="394" stopIfTrue="1">
      <formula>AND(OR(#REF!="COMPOSICAO",#REF!="INSUMO",#REF!&lt;&gt;""),#REF!&lt;&gt;"")</formula>
    </cfRule>
  </conditionalFormatting>
  <conditionalFormatting sqref="A119:D120 F119:F120 A33:B34 C32:C34 A35:D35 D33:D34">
    <cfRule type="expression" dxfId="204" priority="391" stopIfTrue="1">
      <formula>AND(#REF!&lt;&gt;"COMPOSICAO",#REF!&lt;&gt;"INSUMO",#REF!&lt;&gt;"")</formula>
    </cfRule>
    <cfRule type="expression" dxfId="203" priority="392" stopIfTrue="1">
      <formula>AND(OR(#REF!="COMPOSICAO",#REF!="INSUMO",#REF!&lt;&gt;""),#REF!&lt;&gt;"")</formula>
    </cfRule>
  </conditionalFormatting>
  <conditionalFormatting sqref="A115:C115">
    <cfRule type="expression" dxfId="202" priority="387" stopIfTrue="1">
      <formula>AND(#REF!&lt;&gt;"COMPOSICAO",#REF!&lt;&gt;"INSUMO",#REF!&lt;&gt;"")</formula>
    </cfRule>
    <cfRule type="expression" dxfId="201" priority="388" stopIfTrue="1">
      <formula>AND(OR(#REF!="COMPOSICAO",#REF!="INSUMO",#REF!&lt;&gt;""),#REF!&lt;&gt;"")</formula>
    </cfRule>
  </conditionalFormatting>
  <conditionalFormatting sqref="E115:F115">
    <cfRule type="expression" dxfId="200" priority="385" stopIfTrue="1">
      <formula>AND(#REF!&lt;&gt;"COMPOSICAO",#REF!&lt;&gt;"INSUMO",#REF!&lt;&gt;"")</formula>
    </cfRule>
    <cfRule type="expression" dxfId="199" priority="386" stopIfTrue="1">
      <formula>AND(OR(#REF!="COMPOSICAO",#REF!="INSUMO",#REF!&lt;&gt;""),#REF!&lt;&gt;"")</formula>
    </cfRule>
  </conditionalFormatting>
  <conditionalFormatting sqref="D115">
    <cfRule type="expression" dxfId="198" priority="383" stopIfTrue="1">
      <formula>AND(#REF!&lt;&gt;"COMPOSICAO",#REF!&lt;&gt;"INSUMO",#REF!&lt;&gt;"")</formula>
    </cfRule>
    <cfRule type="expression" dxfId="197" priority="384" stopIfTrue="1">
      <formula>AND(OR(#REF!="COMPOSICAO",#REF!="INSUMO",#REF!&lt;&gt;""),#REF!&lt;&gt;"")</formula>
    </cfRule>
  </conditionalFormatting>
  <conditionalFormatting sqref="E119:E120">
    <cfRule type="expression" dxfId="196" priority="389" stopIfTrue="1">
      <formula>AND(#REF!&lt;&gt;"COMPOSICAO",#REF!&lt;&gt;"INSUMO",#REF!&lt;&gt;"")</formula>
    </cfRule>
    <cfRule type="expression" dxfId="195" priority="390" stopIfTrue="1">
      <formula>AND(OR(#REF!="COMPOSICAO",#REF!="INSUMO",#REF!&lt;&gt;""),#REF!&lt;&gt;"")</formula>
    </cfRule>
  </conditionalFormatting>
  <conditionalFormatting sqref="A152:D153 F152:F153 E40:F40 F41:F43 E11:F27 E44:F46 F47:F50 E90:F99 E111:F112 E144:F145 A7:B8 C6:C8 F7:F10 E156:F156">
    <cfRule type="expression" dxfId="194" priority="323" stopIfTrue="1">
      <formula>AND(#REF!&lt;&gt;"COMPOSICAO",#REF!&lt;&gt;"INSUMO",#REF!&lt;&gt;"")</formula>
    </cfRule>
    <cfRule type="expression" dxfId="193" priority="324" stopIfTrue="1">
      <formula>AND(OR(#REF!="COMPOSICAO",#REF!="INSUMO",#REF!&lt;&gt;""),#REF!&lt;&gt;"")</formula>
    </cfRule>
  </conditionalFormatting>
  <conditionalFormatting sqref="A151:C151">
    <cfRule type="expression" dxfId="192" priority="319" stopIfTrue="1">
      <formula>AND(#REF!&lt;&gt;"COMPOSICAO",#REF!&lt;&gt;"INSUMO",#REF!&lt;&gt;"")</formula>
    </cfRule>
    <cfRule type="expression" dxfId="191" priority="320" stopIfTrue="1">
      <formula>AND(OR(#REF!="COMPOSICAO",#REF!="INSUMO",#REF!&lt;&gt;""),#REF!&lt;&gt;"")</formula>
    </cfRule>
  </conditionalFormatting>
  <conditionalFormatting sqref="E151:F151">
    <cfRule type="expression" dxfId="190" priority="317" stopIfTrue="1">
      <formula>AND(#REF!&lt;&gt;"COMPOSICAO",#REF!&lt;&gt;"INSUMO",#REF!&lt;&gt;"")</formula>
    </cfRule>
    <cfRule type="expression" dxfId="189" priority="318" stopIfTrue="1">
      <formula>AND(OR(#REF!="COMPOSICAO",#REF!="INSUMO",#REF!&lt;&gt;""),#REF!&lt;&gt;"")</formula>
    </cfRule>
  </conditionalFormatting>
  <conditionalFormatting sqref="D151">
    <cfRule type="expression" dxfId="188" priority="315" stopIfTrue="1">
      <formula>AND(#REF!&lt;&gt;"COMPOSICAO",#REF!&lt;&gt;"INSUMO",#REF!&lt;&gt;"")</formula>
    </cfRule>
    <cfRule type="expression" dxfId="187" priority="316" stopIfTrue="1">
      <formula>AND(OR(#REF!="COMPOSICAO",#REF!="INSUMO",#REF!&lt;&gt;""),#REF!&lt;&gt;"")</formula>
    </cfRule>
  </conditionalFormatting>
  <conditionalFormatting sqref="E152:E153">
    <cfRule type="expression" dxfId="186" priority="321" stopIfTrue="1">
      <formula>AND(#REF!&lt;&gt;"COMPOSICAO",#REF!&lt;&gt;"INSUMO",#REF!&lt;&gt;"")</formula>
    </cfRule>
    <cfRule type="expression" dxfId="185" priority="322" stopIfTrue="1">
      <formula>AND(OR(#REF!="COMPOSICAO",#REF!="INSUMO",#REF!&lt;&gt;""),#REF!&lt;&gt;"")</formula>
    </cfRule>
  </conditionalFormatting>
  <conditionalFormatting sqref="A2:C2 A3:D3">
    <cfRule type="expression" dxfId="184" priority="281" stopIfTrue="1">
      <formula>AND(#REF!&lt;&gt;"COMPOSICAO",#REF!&lt;&gt;"INSUMO",#REF!&lt;&gt;"")</formula>
    </cfRule>
    <cfRule type="expression" dxfId="183" priority="282" stopIfTrue="1">
      <formula>AND(OR(#REF!="COMPOSICAO",#REF!="INSUMO",#REF!&lt;&gt;""),#REF!&lt;&gt;"")</formula>
    </cfRule>
  </conditionalFormatting>
  <conditionalFormatting sqref="D2:F2">
    <cfRule type="expression" dxfId="182" priority="277" stopIfTrue="1">
      <formula>AND(#REF!&lt;&gt;"COMPOSICAO",#REF!&lt;&gt;"INSUMO",#REF!&lt;&gt;"")</formula>
    </cfRule>
    <cfRule type="expression" dxfId="181" priority="278" stopIfTrue="1">
      <formula>AND(OR(#REF!="COMPOSICAO",#REF!="INSUMO",#REF!&lt;&gt;""),#REF!&lt;&gt;"")</formula>
    </cfRule>
  </conditionalFormatting>
  <conditionalFormatting sqref="E3 E29 E54 E81 E102 E116 E132">
    <cfRule type="expression" dxfId="180" priority="275" stopIfTrue="1">
      <formula>AND(#REF!&lt;&gt;"COMPOSICAO",#REF!&lt;&gt;"INSUMO",#REF!&lt;&gt;"")</formula>
    </cfRule>
    <cfRule type="expression" dxfId="179" priority="276" stopIfTrue="1">
      <formula>AND(OR(#REF!="COMPOSICAO",#REF!="INSUMO",#REF!&lt;&gt;""),#REF!&lt;&gt;"")</formula>
    </cfRule>
  </conditionalFormatting>
  <conditionalFormatting sqref="F3:F4">
    <cfRule type="expression" dxfId="178" priority="273" stopIfTrue="1">
      <formula>AND(#REF!&lt;&gt;"COMPOSICAO",#REF!&lt;&gt;"INSUMO",#REF!&lt;&gt;"")</formula>
    </cfRule>
    <cfRule type="expression" dxfId="177" priority="274" stopIfTrue="1">
      <formula>AND(OR(#REF!="COMPOSICAO",#REF!="INSUMO",#REF!&lt;&gt;""),#REF!&lt;&gt;"")</formula>
    </cfRule>
  </conditionalFormatting>
  <conditionalFormatting sqref="A4:E4 D7:E8 E30 E55 E82 E103 E117 E133 E33:E35 E58:E60 E137 A9:E10">
    <cfRule type="expression" dxfId="176" priority="271" stopIfTrue="1">
      <formula>AND(#REF!&lt;&gt;"COMPOSICAO",#REF!&lt;&gt;"INSUMO",#REF!&lt;&gt;"")</formula>
    </cfRule>
    <cfRule type="expression" dxfId="175" priority="272" stopIfTrue="1">
      <formula>AND(OR(#REF!="COMPOSICAO",#REF!="INSUMO",#REF!&lt;&gt;""),#REF!&lt;&gt;"")</formula>
    </cfRule>
  </conditionalFormatting>
  <conditionalFormatting sqref="F6">
    <cfRule type="expression" dxfId="174" priority="263" stopIfTrue="1">
      <formula>AND(#REF!&lt;&gt;"COMPOSICAO",#REF!&lt;&gt;"INSUMO",#REF!&lt;&gt;"")</formula>
    </cfRule>
    <cfRule type="expression" dxfId="173" priority="264" stopIfTrue="1">
      <formula>AND(OR(#REF!="COMPOSICAO",#REF!="INSUMO",#REF!&lt;&gt;""),#REF!&lt;&gt;"")</formula>
    </cfRule>
  </conditionalFormatting>
  <conditionalFormatting sqref="A6:B6 D6:E6 E105 E32 E57 E84">
    <cfRule type="expression" dxfId="172" priority="261" stopIfTrue="1">
      <formula>AND(#REF!&lt;&gt;"COMPOSICAO",#REF!&lt;&gt;"INSUMO",#REF!&lt;&gt;"")</formula>
    </cfRule>
    <cfRule type="expression" dxfId="171" priority="262" stopIfTrue="1">
      <formula>AND(OR(#REF!="COMPOSICAO",#REF!="INSUMO",#REF!&lt;&gt;""),#REF!&lt;&gt;"")</formula>
    </cfRule>
  </conditionalFormatting>
  <conditionalFormatting sqref="A5:D5">
    <cfRule type="expression" dxfId="170" priority="259" stopIfTrue="1">
      <formula>AND(#REF!&lt;&gt;"COMPOSICAO",#REF!&lt;&gt;"INSUMO",#REF!&lt;&gt;"")</formula>
    </cfRule>
    <cfRule type="expression" dxfId="169" priority="260" stopIfTrue="1">
      <formula>AND(OR(#REF!="COMPOSICAO",#REF!="INSUMO",#REF!&lt;&gt;""),#REF!&lt;&gt;"")</formula>
    </cfRule>
  </conditionalFormatting>
  <conditionalFormatting sqref="F5">
    <cfRule type="expression" dxfId="168" priority="257" stopIfTrue="1">
      <formula>AND(#REF!&lt;&gt;"COMPOSICAO",#REF!&lt;&gt;"INSUMO",#REF!&lt;&gt;"")</formula>
    </cfRule>
    <cfRule type="expression" dxfId="167" priority="258" stopIfTrue="1">
      <formula>AND(OR(#REF!="COMPOSICAO",#REF!="INSUMO",#REF!&lt;&gt;""),#REF!&lt;&gt;"")</formula>
    </cfRule>
  </conditionalFormatting>
  <conditionalFormatting sqref="E5 E31 E56 E83 E104 E118 E134">
    <cfRule type="expression" dxfId="166" priority="255" stopIfTrue="1">
      <formula>AND(#REF!&lt;&gt;"COMPOSICAO",#REF!&lt;&gt;"INSUMO",#REF!&lt;&gt;"")</formula>
    </cfRule>
    <cfRule type="expression" dxfId="165" priority="256" stopIfTrue="1">
      <formula>AND(OR(#REF!="COMPOSICAO",#REF!="INSUMO",#REF!&lt;&gt;""),#REF!&lt;&gt;"")</formula>
    </cfRule>
  </conditionalFormatting>
  <conditionalFormatting sqref="A28:C28 A29:D29">
    <cfRule type="expression" dxfId="164" priority="207" stopIfTrue="1">
      <formula>AND(#REF!&lt;&gt;"COMPOSICAO",#REF!&lt;&gt;"INSUMO",#REF!&lt;&gt;"")</formula>
    </cfRule>
    <cfRule type="expression" dxfId="163" priority="208" stopIfTrue="1">
      <formula>AND(OR(#REF!="COMPOSICAO",#REF!="INSUMO",#REF!&lt;&gt;""),#REF!&lt;&gt;"")</formula>
    </cfRule>
  </conditionalFormatting>
  <conditionalFormatting sqref="E38:F39 E52:F52">
    <cfRule type="expression" dxfId="162" priority="205" stopIfTrue="1">
      <formula>AND(#REF!&lt;&gt;"COMPOSICAO",#REF!&lt;&gt;"INSUMO",#REF!&lt;&gt;"")</formula>
    </cfRule>
    <cfRule type="expression" dxfId="161" priority="206" stopIfTrue="1">
      <formula>AND(OR(#REF!="COMPOSICAO",#REF!="INSUMO",#REF!&lt;&gt;""),#REF!&lt;&gt;"")</formula>
    </cfRule>
  </conditionalFormatting>
  <conditionalFormatting sqref="D28:F28">
    <cfRule type="expression" dxfId="160" priority="203" stopIfTrue="1">
      <formula>AND(#REF!&lt;&gt;"COMPOSICAO",#REF!&lt;&gt;"INSUMO",#REF!&lt;&gt;"")</formula>
    </cfRule>
    <cfRule type="expression" dxfId="159" priority="204" stopIfTrue="1">
      <formula>AND(OR(#REF!="COMPOSICAO",#REF!="INSUMO",#REF!&lt;&gt;""),#REF!&lt;&gt;"")</formula>
    </cfRule>
  </conditionalFormatting>
  <conditionalFormatting sqref="F29:F30">
    <cfRule type="expression" dxfId="158" priority="199" stopIfTrue="1">
      <formula>AND(#REF!&lt;&gt;"COMPOSICAO",#REF!&lt;&gt;"INSUMO",#REF!&lt;&gt;"")</formula>
    </cfRule>
    <cfRule type="expression" dxfId="157" priority="200" stopIfTrue="1">
      <formula>AND(OR(#REF!="COMPOSICAO",#REF!="INSUMO",#REF!&lt;&gt;""),#REF!&lt;&gt;"")</formula>
    </cfRule>
  </conditionalFormatting>
  <conditionalFormatting sqref="A30:D30">
    <cfRule type="expression" dxfId="156" priority="197" stopIfTrue="1">
      <formula>AND(#REF!&lt;&gt;"COMPOSICAO",#REF!&lt;&gt;"INSUMO",#REF!&lt;&gt;"")</formula>
    </cfRule>
    <cfRule type="expression" dxfId="155" priority="198" stopIfTrue="1">
      <formula>AND(OR(#REF!="COMPOSICAO",#REF!="INSUMO",#REF!&lt;&gt;""),#REF!&lt;&gt;"")</formula>
    </cfRule>
  </conditionalFormatting>
  <conditionalFormatting sqref="F32">
    <cfRule type="expression" dxfId="154" priority="195" stopIfTrue="1">
      <formula>AND(#REF!&lt;&gt;"COMPOSICAO",#REF!&lt;&gt;"INSUMO",#REF!&lt;&gt;"")</formula>
    </cfRule>
    <cfRule type="expression" dxfId="153" priority="196" stopIfTrue="1">
      <formula>AND(OR(#REF!="COMPOSICAO",#REF!="INSUMO",#REF!&lt;&gt;""),#REF!&lt;&gt;"")</formula>
    </cfRule>
  </conditionalFormatting>
  <conditionalFormatting sqref="A32:B32 D32">
    <cfRule type="expression" dxfId="152" priority="193" stopIfTrue="1">
      <formula>AND(#REF!&lt;&gt;"COMPOSICAO",#REF!&lt;&gt;"INSUMO",#REF!&lt;&gt;"")</formula>
    </cfRule>
    <cfRule type="expression" dxfId="151" priority="194" stopIfTrue="1">
      <formula>AND(OR(#REF!="COMPOSICAO",#REF!="INSUMO",#REF!&lt;&gt;""),#REF!&lt;&gt;"")</formula>
    </cfRule>
  </conditionalFormatting>
  <conditionalFormatting sqref="A31:D31">
    <cfRule type="expression" dxfId="150" priority="191" stopIfTrue="1">
      <formula>AND(#REF!&lt;&gt;"COMPOSICAO",#REF!&lt;&gt;"INSUMO",#REF!&lt;&gt;"")</formula>
    </cfRule>
    <cfRule type="expression" dxfId="149" priority="192" stopIfTrue="1">
      <formula>AND(OR(#REF!="COMPOSICAO",#REF!="INSUMO",#REF!&lt;&gt;""),#REF!&lt;&gt;"")</formula>
    </cfRule>
  </conditionalFormatting>
  <conditionalFormatting sqref="F31">
    <cfRule type="expression" dxfId="148" priority="189" stopIfTrue="1">
      <formula>AND(#REF!&lt;&gt;"COMPOSICAO",#REF!&lt;&gt;"INSUMO",#REF!&lt;&gt;"")</formula>
    </cfRule>
    <cfRule type="expression" dxfId="147" priority="190" stopIfTrue="1">
      <formula>AND(OR(#REF!="COMPOSICAO",#REF!="INSUMO",#REF!&lt;&gt;""),#REF!&lt;&gt;"")</formula>
    </cfRule>
  </conditionalFormatting>
  <conditionalFormatting sqref="F58:F60">
    <cfRule type="expression" dxfId="146" priority="183" stopIfTrue="1">
      <formula>AND(#REF!&lt;&gt;"COMPOSICAO",#REF!&lt;&gt;"INSUMO",#REF!&lt;&gt;"")</formula>
    </cfRule>
    <cfRule type="expression" dxfId="145" priority="184" stopIfTrue="1">
      <formula>AND(OR(#REF!="COMPOSICAO",#REF!="INSUMO",#REF!&lt;&gt;""),#REF!&lt;&gt;"")</formula>
    </cfRule>
  </conditionalFormatting>
  <conditionalFormatting sqref="C57 A58:D60">
    <cfRule type="expression" dxfId="144" priority="181" stopIfTrue="1">
      <formula>AND(#REF!&lt;&gt;"COMPOSICAO",#REF!&lt;&gt;"INSUMO",#REF!&lt;&gt;"")</formula>
    </cfRule>
    <cfRule type="expression" dxfId="143" priority="182" stopIfTrue="1">
      <formula>AND(OR(#REF!="COMPOSICAO",#REF!="INSUMO",#REF!&lt;&gt;""),#REF!&lt;&gt;"")</formula>
    </cfRule>
  </conditionalFormatting>
  <conditionalFormatting sqref="A53:C53 A54:D54">
    <cfRule type="expression" dxfId="142" priority="179" stopIfTrue="1">
      <formula>AND(#REF!&lt;&gt;"COMPOSICAO",#REF!&lt;&gt;"INSUMO",#REF!&lt;&gt;"")</formula>
    </cfRule>
    <cfRule type="expression" dxfId="141" priority="180" stopIfTrue="1">
      <formula>AND(OR(#REF!="COMPOSICAO",#REF!="INSUMO",#REF!&lt;&gt;""),#REF!&lt;&gt;"")</formula>
    </cfRule>
  </conditionalFormatting>
  <conditionalFormatting sqref="E63:F63">
    <cfRule type="expression" dxfId="140" priority="177" stopIfTrue="1">
      <formula>AND(#REF!&lt;&gt;"COMPOSICAO",#REF!&lt;&gt;"INSUMO",#REF!&lt;&gt;"")</formula>
    </cfRule>
    <cfRule type="expression" dxfId="139" priority="178" stopIfTrue="1">
      <formula>AND(OR(#REF!="COMPOSICAO",#REF!="INSUMO",#REF!&lt;&gt;""),#REF!&lt;&gt;"")</formula>
    </cfRule>
  </conditionalFormatting>
  <conditionalFormatting sqref="D53:F53">
    <cfRule type="expression" dxfId="138" priority="175" stopIfTrue="1">
      <formula>AND(#REF!&lt;&gt;"COMPOSICAO",#REF!&lt;&gt;"INSUMO",#REF!&lt;&gt;"")</formula>
    </cfRule>
    <cfRule type="expression" dxfId="137" priority="176" stopIfTrue="1">
      <formula>AND(OR(#REF!="COMPOSICAO",#REF!="INSUMO",#REF!&lt;&gt;""),#REF!&lt;&gt;"")</formula>
    </cfRule>
  </conditionalFormatting>
  <conditionalFormatting sqref="F54:F55">
    <cfRule type="expression" dxfId="136" priority="171" stopIfTrue="1">
      <formula>AND(#REF!&lt;&gt;"COMPOSICAO",#REF!&lt;&gt;"INSUMO",#REF!&lt;&gt;"")</formula>
    </cfRule>
    <cfRule type="expression" dxfId="135" priority="172" stopIfTrue="1">
      <formula>AND(OR(#REF!="COMPOSICAO",#REF!="INSUMO",#REF!&lt;&gt;""),#REF!&lt;&gt;"")</formula>
    </cfRule>
  </conditionalFormatting>
  <conditionalFormatting sqref="A55:D55">
    <cfRule type="expression" dxfId="134" priority="169" stopIfTrue="1">
      <formula>AND(#REF!&lt;&gt;"COMPOSICAO",#REF!&lt;&gt;"INSUMO",#REF!&lt;&gt;"")</formula>
    </cfRule>
    <cfRule type="expression" dxfId="133" priority="170" stopIfTrue="1">
      <formula>AND(OR(#REF!="COMPOSICAO",#REF!="INSUMO",#REF!&lt;&gt;""),#REF!&lt;&gt;"")</formula>
    </cfRule>
  </conditionalFormatting>
  <conditionalFormatting sqref="F57">
    <cfRule type="expression" dxfId="132" priority="167" stopIfTrue="1">
      <formula>AND(#REF!&lt;&gt;"COMPOSICAO",#REF!&lt;&gt;"INSUMO",#REF!&lt;&gt;"")</formula>
    </cfRule>
    <cfRule type="expression" dxfId="131" priority="168" stopIfTrue="1">
      <formula>AND(OR(#REF!="COMPOSICAO",#REF!="INSUMO",#REF!&lt;&gt;""),#REF!&lt;&gt;"")</formula>
    </cfRule>
  </conditionalFormatting>
  <conditionalFormatting sqref="D57 A57:B57">
    <cfRule type="expression" dxfId="130" priority="165" stopIfTrue="1">
      <formula>AND(#REF!&lt;&gt;"COMPOSICAO",#REF!&lt;&gt;"INSUMO",#REF!&lt;&gt;"")</formula>
    </cfRule>
    <cfRule type="expression" dxfId="129" priority="166" stopIfTrue="1">
      <formula>AND(OR(#REF!="COMPOSICAO",#REF!="INSUMO",#REF!&lt;&gt;""),#REF!&lt;&gt;"")</formula>
    </cfRule>
  </conditionalFormatting>
  <conditionalFormatting sqref="A56:C56">
    <cfRule type="expression" dxfId="128" priority="163" stopIfTrue="1">
      <formula>AND(#REF!&lt;&gt;"COMPOSICAO",#REF!&lt;&gt;"INSUMO",#REF!&lt;&gt;"")</formula>
    </cfRule>
    <cfRule type="expression" dxfId="127" priority="164" stopIfTrue="1">
      <formula>AND(OR(#REF!="COMPOSICAO",#REF!="INSUMO",#REF!&lt;&gt;""),#REF!&lt;&gt;"")</formula>
    </cfRule>
  </conditionalFormatting>
  <conditionalFormatting sqref="F56">
    <cfRule type="expression" dxfId="126" priority="161" stopIfTrue="1">
      <formula>AND(#REF!&lt;&gt;"COMPOSICAO",#REF!&lt;&gt;"INSUMO",#REF!&lt;&gt;"")</formula>
    </cfRule>
    <cfRule type="expression" dxfId="125" priority="162" stopIfTrue="1">
      <formula>AND(OR(#REF!="COMPOSICAO",#REF!="INSUMO",#REF!&lt;&gt;""),#REF!&lt;&gt;"")</formula>
    </cfRule>
  </conditionalFormatting>
  <conditionalFormatting sqref="F85:F87">
    <cfRule type="expression" dxfId="124" priority="157" stopIfTrue="1">
      <formula>AND(#REF!&lt;&gt;"COMPOSICAO",#REF!&lt;&gt;"INSUMO",#REF!&lt;&gt;"")</formula>
    </cfRule>
    <cfRule type="expression" dxfId="123" priority="158" stopIfTrue="1">
      <formula>AND(OR(#REF!="COMPOSICAO",#REF!="INSUMO",#REF!&lt;&gt;""),#REF!&lt;&gt;"")</formula>
    </cfRule>
  </conditionalFormatting>
  <conditionalFormatting sqref="C84 A85:E87">
    <cfRule type="expression" dxfId="122" priority="155" stopIfTrue="1">
      <formula>AND(#REF!&lt;&gt;"COMPOSICAO",#REF!&lt;&gt;"INSUMO",#REF!&lt;&gt;"")</formula>
    </cfRule>
    <cfRule type="expression" dxfId="121" priority="156" stopIfTrue="1">
      <formula>AND(OR(#REF!="COMPOSICAO",#REF!="INSUMO",#REF!&lt;&gt;""),#REF!&lt;&gt;"")</formula>
    </cfRule>
  </conditionalFormatting>
  <conditionalFormatting sqref="A80:C80 A81:D81 D82">
    <cfRule type="expression" dxfId="120" priority="153" stopIfTrue="1">
      <formula>AND(#REF!&lt;&gt;"COMPOSICAO",#REF!&lt;&gt;"INSUMO",#REF!&lt;&gt;"")</formula>
    </cfRule>
    <cfRule type="expression" dxfId="119" priority="154" stopIfTrue="1">
      <formula>AND(OR(#REF!="COMPOSICAO",#REF!="INSUMO",#REF!&lt;&gt;""),#REF!&lt;&gt;"")</formula>
    </cfRule>
  </conditionalFormatting>
  <conditionalFormatting sqref="E88:F88">
    <cfRule type="expression" dxfId="118" priority="151" stopIfTrue="1">
      <formula>AND(#REF!&lt;&gt;"COMPOSICAO",#REF!&lt;&gt;"INSUMO",#REF!&lt;&gt;"")</formula>
    </cfRule>
    <cfRule type="expression" dxfId="117" priority="152" stopIfTrue="1">
      <formula>AND(OR(#REF!="COMPOSICAO",#REF!="INSUMO",#REF!&lt;&gt;""),#REF!&lt;&gt;"")</formula>
    </cfRule>
  </conditionalFormatting>
  <conditionalFormatting sqref="D80:F80">
    <cfRule type="expression" dxfId="116" priority="149" stopIfTrue="1">
      <formula>AND(#REF!&lt;&gt;"COMPOSICAO",#REF!&lt;&gt;"INSUMO",#REF!&lt;&gt;"")</formula>
    </cfRule>
    <cfRule type="expression" dxfId="115" priority="150" stopIfTrue="1">
      <formula>AND(OR(#REF!="COMPOSICAO",#REF!="INSUMO",#REF!&lt;&gt;""),#REF!&lt;&gt;"")</formula>
    </cfRule>
  </conditionalFormatting>
  <conditionalFormatting sqref="F81:F82">
    <cfRule type="expression" dxfId="114" priority="145" stopIfTrue="1">
      <formula>AND(#REF!&lt;&gt;"COMPOSICAO",#REF!&lt;&gt;"INSUMO",#REF!&lt;&gt;"")</formula>
    </cfRule>
    <cfRule type="expression" dxfId="113" priority="146" stopIfTrue="1">
      <formula>AND(OR(#REF!="COMPOSICAO",#REF!="INSUMO",#REF!&lt;&gt;""),#REF!&lt;&gt;"")</formula>
    </cfRule>
  </conditionalFormatting>
  <conditionalFormatting sqref="A82:C82">
    <cfRule type="expression" dxfId="112" priority="143" stopIfTrue="1">
      <formula>AND(#REF!&lt;&gt;"COMPOSICAO",#REF!&lt;&gt;"INSUMO",#REF!&lt;&gt;"")</formula>
    </cfRule>
    <cfRule type="expression" dxfId="111" priority="144" stopIfTrue="1">
      <formula>AND(OR(#REF!="COMPOSICAO",#REF!="INSUMO",#REF!&lt;&gt;""),#REF!&lt;&gt;"")</formula>
    </cfRule>
  </conditionalFormatting>
  <conditionalFormatting sqref="F84">
    <cfRule type="expression" dxfId="110" priority="141" stopIfTrue="1">
      <formula>AND(#REF!&lt;&gt;"COMPOSICAO",#REF!&lt;&gt;"INSUMO",#REF!&lt;&gt;"")</formula>
    </cfRule>
    <cfRule type="expression" dxfId="109" priority="142" stopIfTrue="1">
      <formula>AND(OR(#REF!="COMPOSICAO",#REF!="INSUMO",#REF!&lt;&gt;""),#REF!&lt;&gt;"")</formula>
    </cfRule>
  </conditionalFormatting>
  <conditionalFormatting sqref="A84:B84 D84">
    <cfRule type="expression" dxfId="108" priority="139" stopIfTrue="1">
      <formula>AND(#REF!&lt;&gt;"COMPOSICAO",#REF!&lt;&gt;"INSUMO",#REF!&lt;&gt;"")</formula>
    </cfRule>
    <cfRule type="expression" dxfId="107" priority="140" stopIfTrue="1">
      <formula>AND(OR(#REF!="COMPOSICAO",#REF!="INSUMO",#REF!&lt;&gt;""),#REF!&lt;&gt;"")</formula>
    </cfRule>
  </conditionalFormatting>
  <conditionalFormatting sqref="A83:D83">
    <cfRule type="expression" dxfId="106" priority="137" stopIfTrue="1">
      <formula>AND(#REF!&lt;&gt;"COMPOSICAO",#REF!&lt;&gt;"INSUMO",#REF!&lt;&gt;"")</formula>
    </cfRule>
    <cfRule type="expression" dxfId="105" priority="138" stopIfTrue="1">
      <formula>AND(OR(#REF!="COMPOSICAO",#REF!="INSUMO",#REF!&lt;&gt;""),#REF!&lt;&gt;"")</formula>
    </cfRule>
  </conditionalFormatting>
  <conditionalFormatting sqref="F83">
    <cfRule type="expression" dxfId="104" priority="135" stopIfTrue="1">
      <formula>AND(#REF!&lt;&gt;"COMPOSICAO",#REF!&lt;&gt;"INSUMO",#REF!&lt;&gt;"")</formula>
    </cfRule>
    <cfRule type="expression" dxfId="103" priority="136" stopIfTrue="1">
      <formula>AND(OR(#REF!="COMPOSICAO",#REF!="INSUMO",#REF!&lt;&gt;""),#REF!&lt;&gt;"")</formula>
    </cfRule>
  </conditionalFormatting>
  <conditionalFormatting sqref="E107:F107 E114:F114">
    <cfRule type="expression" dxfId="102" priority="131" stopIfTrue="1">
      <formula>AND(#REF!&lt;&gt;"COMPOSICAO",#REF!&lt;&gt;"INSUMO",#REF!&lt;&gt;"")</formula>
    </cfRule>
    <cfRule type="expression" dxfId="101" priority="132" stopIfTrue="1">
      <formula>AND(OR(#REF!="COMPOSICAO",#REF!="INSUMO",#REF!&lt;&gt;""),#REF!&lt;&gt;"")</formula>
    </cfRule>
  </conditionalFormatting>
  <conditionalFormatting sqref="C105">
    <cfRule type="expression" dxfId="100" priority="127" stopIfTrue="1">
      <formula>AND(#REF!&lt;&gt;"COMPOSICAO",#REF!&lt;&gt;"INSUMO",#REF!&lt;&gt;"")</formula>
    </cfRule>
    <cfRule type="expression" dxfId="99" priority="128" stopIfTrue="1">
      <formula>AND(OR(#REF!="COMPOSICAO",#REF!="INSUMO",#REF!&lt;&gt;""),#REF!&lt;&gt;"")</formula>
    </cfRule>
  </conditionalFormatting>
  <conditionalFormatting sqref="A101:C101 A102:D102">
    <cfRule type="expression" dxfId="98" priority="125" stopIfTrue="1">
      <formula>AND(#REF!&lt;&gt;"COMPOSICAO",#REF!&lt;&gt;"INSUMO",#REF!&lt;&gt;"")</formula>
    </cfRule>
    <cfRule type="expression" dxfId="97" priority="126" stopIfTrue="1">
      <formula>AND(OR(#REF!="COMPOSICAO",#REF!="INSUMO",#REF!&lt;&gt;""),#REF!&lt;&gt;"")</formula>
    </cfRule>
  </conditionalFormatting>
  <conditionalFormatting sqref="E106:F106">
    <cfRule type="expression" dxfId="96" priority="123" stopIfTrue="1">
      <formula>AND(#REF!&lt;&gt;"COMPOSICAO",#REF!&lt;&gt;"INSUMO",#REF!&lt;&gt;"")</formula>
    </cfRule>
    <cfRule type="expression" dxfId="95" priority="124" stopIfTrue="1">
      <formula>AND(OR(#REF!="COMPOSICAO",#REF!="INSUMO",#REF!&lt;&gt;""),#REF!&lt;&gt;"")</formula>
    </cfRule>
  </conditionalFormatting>
  <conditionalFormatting sqref="D101:F101">
    <cfRule type="expression" dxfId="94" priority="121" stopIfTrue="1">
      <formula>AND(#REF!&lt;&gt;"COMPOSICAO",#REF!&lt;&gt;"INSUMO",#REF!&lt;&gt;"")</formula>
    </cfRule>
    <cfRule type="expression" dxfId="93" priority="122" stopIfTrue="1">
      <formula>AND(OR(#REF!="COMPOSICAO",#REF!="INSUMO",#REF!&lt;&gt;""),#REF!&lt;&gt;"")</formula>
    </cfRule>
  </conditionalFormatting>
  <conditionalFormatting sqref="F102:F103">
    <cfRule type="expression" dxfId="92" priority="117" stopIfTrue="1">
      <formula>AND(#REF!&lt;&gt;"COMPOSICAO",#REF!&lt;&gt;"INSUMO",#REF!&lt;&gt;"")</formula>
    </cfRule>
    <cfRule type="expression" dxfId="91" priority="118" stopIfTrue="1">
      <formula>AND(OR(#REF!="COMPOSICAO",#REF!="INSUMO",#REF!&lt;&gt;""),#REF!&lt;&gt;"")</formula>
    </cfRule>
  </conditionalFormatting>
  <conditionalFormatting sqref="A103:D103">
    <cfRule type="expression" dxfId="90" priority="115" stopIfTrue="1">
      <formula>AND(#REF!&lt;&gt;"COMPOSICAO",#REF!&lt;&gt;"INSUMO",#REF!&lt;&gt;"")</formula>
    </cfRule>
    <cfRule type="expression" dxfId="89" priority="116" stopIfTrue="1">
      <formula>AND(OR(#REF!="COMPOSICAO",#REF!="INSUMO",#REF!&lt;&gt;""),#REF!&lt;&gt;"")</formula>
    </cfRule>
  </conditionalFormatting>
  <conditionalFormatting sqref="F105">
    <cfRule type="expression" dxfId="88" priority="113" stopIfTrue="1">
      <formula>AND(#REF!&lt;&gt;"COMPOSICAO",#REF!&lt;&gt;"INSUMO",#REF!&lt;&gt;"")</formula>
    </cfRule>
    <cfRule type="expression" dxfId="87" priority="114" stopIfTrue="1">
      <formula>AND(OR(#REF!="COMPOSICAO",#REF!="INSUMO",#REF!&lt;&gt;""),#REF!&lt;&gt;"")</formula>
    </cfRule>
  </conditionalFormatting>
  <conditionalFormatting sqref="A105:B105 D105">
    <cfRule type="expression" dxfId="86" priority="111" stopIfTrue="1">
      <formula>AND(#REF!&lt;&gt;"COMPOSICAO",#REF!&lt;&gt;"INSUMO",#REF!&lt;&gt;"")</formula>
    </cfRule>
    <cfRule type="expression" dxfId="85" priority="112" stopIfTrue="1">
      <formula>AND(OR(#REF!="COMPOSICAO",#REF!="INSUMO",#REF!&lt;&gt;""),#REF!&lt;&gt;"")</formula>
    </cfRule>
  </conditionalFormatting>
  <conditionalFormatting sqref="A104:D104">
    <cfRule type="expression" dxfId="84" priority="109" stopIfTrue="1">
      <formula>AND(#REF!&lt;&gt;"COMPOSICAO",#REF!&lt;&gt;"INSUMO",#REF!&lt;&gt;"")</formula>
    </cfRule>
    <cfRule type="expression" dxfId="83" priority="110" stopIfTrue="1">
      <formula>AND(OR(#REF!="COMPOSICAO",#REF!="INSUMO",#REF!&lt;&gt;""),#REF!&lt;&gt;"")</formula>
    </cfRule>
  </conditionalFormatting>
  <conditionalFormatting sqref="F104">
    <cfRule type="expression" dxfId="82" priority="107" stopIfTrue="1">
      <formula>AND(#REF!&lt;&gt;"COMPOSICAO",#REF!&lt;&gt;"INSUMO",#REF!&lt;&gt;"")</formula>
    </cfRule>
    <cfRule type="expression" dxfId="81" priority="108" stopIfTrue="1">
      <formula>AND(OR(#REF!="COMPOSICAO",#REF!="INSUMO",#REF!&lt;&gt;""),#REF!&lt;&gt;"")</formula>
    </cfRule>
  </conditionalFormatting>
  <conditionalFormatting sqref="A116:D116 D117">
    <cfRule type="expression" dxfId="80" priority="103" stopIfTrue="1">
      <formula>AND(#REF!&lt;&gt;"COMPOSICAO",#REF!&lt;&gt;"INSUMO",#REF!&lt;&gt;"")</formula>
    </cfRule>
    <cfRule type="expression" dxfId="79" priority="104" stopIfTrue="1">
      <formula>AND(OR(#REF!="COMPOSICAO",#REF!="INSUMO",#REF!&lt;&gt;""),#REF!&lt;&gt;"")</formula>
    </cfRule>
  </conditionalFormatting>
  <conditionalFormatting sqref="F116:F117">
    <cfRule type="expression" dxfId="78" priority="99" stopIfTrue="1">
      <formula>AND(#REF!&lt;&gt;"COMPOSICAO",#REF!&lt;&gt;"INSUMO",#REF!&lt;&gt;"")</formula>
    </cfRule>
    <cfRule type="expression" dxfId="77" priority="100" stopIfTrue="1">
      <formula>AND(OR(#REF!="COMPOSICAO",#REF!="INSUMO",#REF!&lt;&gt;""),#REF!&lt;&gt;"")</formula>
    </cfRule>
  </conditionalFormatting>
  <conditionalFormatting sqref="A117:C117">
    <cfRule type="expression" dxfId="76" priority="97" stopIfTrue="1">
      <formula>AND(#REF!&lt;&gt;"COMPOSICAO",#REF!&lt;&gt;"INSUMO",#REF!&lt;&gt;"")</formula>
    </cfRule>
    <cfRule type="expression" dxfId="75" priority="98" stopIfTrue="1">
      <formula>AND(OR(#REF!="COMPOSICAO",#REF!="INSUMO",#REF!&lt;&gt;""),#REF!&lt;&gt;"")</formula>
    </cfRule>
  </conditionalFormatting>
  <conditionalFormatting sqref="A118:D118">
    <cfRule type="expression" dxfId="74" priority="95" stopIfTrue="1">
      <formula>AND(#REF!&lt;&gt;"COMPOSICAO",#REF!&lt;&gt;"INSUMO",#REF!&lt;&gt;"")</formula>
    </cfRule>
    <cfRule type="expression" dxfId="73" priority="96" stopIfTrue="1">
      <formula>AND(OR(#REF!="COMPOSICAO",#REF!="INSUMO",#REF!&lt;&gt;""),#REF!&lt;&gt;"")</formula>
    </cfRule>
  </conditionalFormatting>
  <conditionalFormatting sqref="F118">
    <cfRule type="expression" dxfId="72" priority="93" stopIfTrue="1">
      <formula>AND(#REF!&lt;&gt;"COMPOSICAO",#REF!&lt;&gt;"INSUMO",#REF!&lt;&gt;"")</formula>
    </cfRule>
    <cfRule type="expression" dxfId="71" priority="94" stopIfTrue="1">
      <formula>AND(OR(#REF!="COMPOSICAO",#REF!="INSUMO",#REF!&lt;&gt;""),#REF!&lt;&gt;"")</formula>
    </cfRule>
  </conditionalFormatting>
  <conditionalFormatting sqref="A135:C136 F135:F136">
    <cfRule type="expression" dxfId="70" priority="89" stopIfTrue="1">
      <formula>AND(#REF!&lt;&gt;"COMPOSICAO",#REF!&lt;&gt;"INSUMO",#REF!&lt;&gt;"")</formula>
    </cfRule>
    <cfRule type="expression" dxfId="69" priority="90" stopIfTrue="1">
      <formula>AND(OR(#REF!="COMPOSICAO",#REF!="INSUMO",#REF!&lt;&gt;""),#REF!&lt;&gt;"")</formula>
    </cfRule>
  </conditionalFormatting>
  <conditionalFormatting sqref="A131:C131">
    <cfRule type="expression" dxfId="68" priority="85" stopIfTrue="1">
      <formula>AND(#REF!&lt;&gt;"COMPOSICAO",#REF!&lt;&gt;"INSUMO",#REF!&lt;&gt;"")</formula>
    </cfRule>
    <cfRule type="expression" dxfId="67" priority="86" stopIfTrue="1">
      <formula>AND(OR(#REF!="COMPOSICAO",#REF!="INSUMO",#REF!&lt;&gt;""),#REF!&lt;&gt;"")</formula>
    </cfRule>
  </conditionalFormatting>
  <conditionalFormatting sqref="E131:F131">
    <cfRule type="expression" dxfId="66" priority="83" stopIfTrue="1">
      <formula>AND(#REF!&lt;&gt;"COMPOSICAO",#REF!&lt;&gt;"INSUMO",#REF!&lt;&gt;"")</formula>
    </cfRule>
    <cfRule type="expression" dxfId="65" priority="84" stopIfTrue="1">
      <formula>AND(OR(#REF!="COMPOSICAO",#REF!="INSUMO",#REF!&lt;&gt;""),#REF!&lt;&gt;"")</formula>
    </cfRule>
  </conditionalFormatting>
  <conditionalFormatting sqref="D131">
    <cfRule type="expression" dxfId="64" priority="81" stopIfTrue="1">
      <formula>AND(#REF!&lt;&gt;"COMPOSICAO",#REF!&lt;&gt;"INSUMO",#REF!&lt;&gt;"")</formula>
    </cfRule>
    <cfRule type="expression" dxfId="63" priority="82" stopIfTrue="1">
      <formula>AND(OR(#REF!="COMPOSICAO",#REF!="INSUMO",#REF!&lt;&gt;""),#REF!&lt;&gt;"")</formula>
    </cfRule>
  </conditionalFormatting>
  <conditionalFormatting sqref="E135:E136">
    <cfRule type="expression" dxfId="62" priority="87" stopIfTrue="1">
      <formula>AND(#REF!&lt;&gt;"COMPOSICAO",#REF!&lt;&gt;"INSUMO",#REF!&lt;&gt;"")</formula>
    </cfRule>
    <cfRule type="expression" dxfId="61" priority="88" stopIfTrue="1">
      <formula>AND(OR(#REF!="COMPOSICAO",#REF!="INSUMO",#REF!&lt;&gt;""),#REF!&lt;&gt;"")</formula>
    </cfRule>
  </conditionalFormatting>
  <conditionalFormatting sqref="A132:D132">
    <cfRule type="expression" dxfId="60" priority="79" stopIfTrue="1">
      <formula>AND(#REF!&lt;&gt;"COMPOSICAO",#REF!&lt;&gt;"INSUMO",#REF!&lt;&gt;"")</formula>
    </cfRule>
    <cfRule type="expression" dxfId="59" priority="80" stopIfTrue="1">
      <formula>AND(OR(#REF!="COMPOSICAO",#REF!="INSUMO",#REF!&lt;&gt;""),#REF!&lt;&gt;"")</formula>
    </cfRule>
  </conditionalFormatting>
  <conditionalFormatting sqref="F132:F133">
    <cfRule type="expression" dxfId="58" priority="75" stopIfTrue="1">
      <formula>AND(#REF!&lt;&gt;"COMPOSICAO",#REF!&lt;&gt;"INSUMO",#REF!&lt;&gt;"")</formula>
    </cfRule>
    <cfRule type="expression" dxfId="57" priority="76" stopIfTrue="1">
      <formula>AND(OR(#REF!="COMPOSICAO",#REF!="INSUMO",#REF!&lt;&gt;""),#REF!&lt;&gt;"")</formula>
    </cfRule>
  </conditionalFormatting>
  <conditionalFormatting sqref="A133:D133">
    <cfRule type="expression" dxfId="56" priority="73" stopIfTrue="1">
      <formula>AND(#REF!&lt;&gt;"COMPOSICAO",#REF!&lt;&gt;"INSUMO",#REF!&lt;&gt;"")</formula>
    </cfRule>
    <cfRule type="expression" dxfId="55" priority="74" stopIfTrue="1">
      <formula>AND(OR(#REF!="COMPOSICAO",#REF!="INSUMO",#REF!&lt;&gt;""),#REF!&lt;&gt;"")</formula>
    </cfRule>
  </conditionalFormatting>
  <conditionalFormatting sqref="A134:D134">
    <cfRule type="expression" dxfId="54" priority="71" stopIfTrue="1">
      <formula>AND(#REF!&lt;&gt;"COMPOSICAO",#REF!&lt;&gt;"INSUMO",#REF!&lt;&gt;"")</formula>
    </cfRule>
    <cfRule type="expression" dxfId="53" priority="72" stopIfTrue="1">
      <formula>AND(OR(#REF!="COMPOSICAO",#REF!="INSUMO",#REF!&lt;&gt;""),#REF!&lt;&gt;"")</formula>
    </cfRule>
  </conditionalFormatting>
  <conditionalFormatting sqref="F134">
    <cfRule type="expression" dxfId="52" priority="69" stopIfTrue="1">
      <formula>AND(#REF!&lt;&gt;"COMPOSICAO",#REF!&lt;&gt;"INSUMO",#REF!&lt;&gt;"")</formula>
    </cfRule>
    <cfRule type="expression" dxfId="51" priority="70" stopIfTrue="1">
      <formula>AND(OR(#REF!="COMPOSICAO",#REF!="INSUMO",#REF!&lt;&gt;""),#REF!&lt;&gt;"")</formula>
    </cfRule>
  </conditionalFormatting>
  <conditionalFormatting sqref="F137">
    <cfRule type="expression" dxfId="50" priority="65" stopIfTrue="1">
      <formula>AND(#REF!&lt;&gt;"COMPOSICAO",#REF!&lt;&gt;"INSUMO",#REF!&lt;&gt;"")</formula>
    </cfRule>
    <cfRule type="expression" dxfId="49" priority="66" stopIfTrue="1">
      <formula>AND(OR(#REF!="COMPOSICAO",#REF!="INSUMO",#REF!&lt;&gt;""),#REF!&lt;&gt;"")</formula>
    </cfRule>
  </conditionalFormatting>
  <conditionalFormatting sqref="A137:D137">
    <cfRule type="expression" dxfId="48" priority="63" stopIfTrue="1">
      <formula>AND(#REF!&lt;&gt;"COMPOSICAO",#REF!&lt;&gt;"INSUMO",#REF!&lt;&gt;"")</formula>
    </cfRule>
    <cfRule type="expression" dxfId="47" priority="64" stopIfTrue="1">
      <formula>AND(OR(#REF!="COMPOSICAO",#REF!="INSUMO",#REF!&lt;&gt;""),#REF!&lt;&gt;"")</formula>
    </cfRule>
  </conditionalFormatting>
  <conditionalFormatting sqref="F138">
    <cfRule type="expression" dxfId="46" priority="61" stopIfTrue="1">
      <formula>AND(#REF!&lt;&gt;"COMPOSICAO",#REF!&lt;&gt;"INSUMO",#REF!&lt;&gt;"")</formula>
    </cfRule>
    <cfRule type="expression" dxfId="45" priority="62" stopIfTrue="1">
      <formula>AND(OR(#REF!="COMPOSICAO",#REF!="INSUMO",#REF!&lt;&gt;""),#REF!&lt;&gt;"")</formula>
    </cfRule>
  </conditionalFormatting>
  <conditionalFormatting sqref="A138:E138">
    <cfRule type="expression" dxfId="44" priority="59" stopIfTrue="1">
      <formula>AND(#REF!&lt;&gt;"COMPOSICAO",#REF!&lt;&gt;"INSUMO",#REF!&lt;&gt;"")</formula>
    </cfRule>
    <cfRule type="expression" dxfId="43" priority="60" stopIfTrue="1">
      <formula>AND(OR(#REF!="COMPOSICAO",#REF!="INSUMO",#REF!&lt;&gt;""),#REF!&lt;&gt;"")</formula>
    </cfRule>
  </conditionalFormatting>
  <conditionalFormatting sqref="D56">
    <cfRule type="expression" dxfId="42" priority="57" stopIfTrue="1">
      <formula>AND(#REF!&lt;&gt;"COMPOSICAO",#REF!&lt;&gt;"INSUMO",#REF!&lt;&gt;"")</formula>
    </cfRule>
    <cfRule type="expression" dxfId="41" priority="58" stopIfTrue="1">
      <formula>AND(OR(#REF!="COMPOSICAO",#REF!="INSUMO",#REF!&lt;&gt;""),#REF!&lt;&gt;"")</formula>
    </cfRule>
  </conditionalFormatting>
  <conditionalFormatting sqref="D135:D136">
    <cfRule type="expression" dxfId="40" priority="55" stopIfTrue="1">
      <formula>AND(#REF!&lt;&gt;"COMPOSICAO",#REF!&lt;&gt;"INSUMO",#REF!&lt;&gt;"")</formula>
    </cfRule>
    <cfRule type="expression" dxfId="39" priority="56" stopIfTrue="1">
      <formula>AND(OR(#REF!="COMPOSICAO",#REF!="INSUMO",#REF!&lt;&gt;""),#REF!&lt;&gt;"")</formula>
    </cfRule>
  </conditionalFormatting>
  <conditionalFormatting sqref="E65:F72 E73">
    <cfRule type="expression" dxfId="38" priority="47" stopIfTrue="1">
      <formula>AND(#REF!&lt;&gt;"COMPOSICAO",#REF!&lt;&gt;"INSUMO",#REF!&lt;&gt;"")</formula>
    </cfRule>
    <cfRule type="expression" dxfId="37" priority="48" stopIfTrue="1">
      <formula>AND(OR(#REF!="COMPOSICAO",#REF!="INSUMO",#REF!&lt;&gt;""),#REF!&lt;&gt;"")</formula>
    </cfRule>
  </conditionalFormatting>
  <conditionalFormatting sqref="E64:F64 E79:F79">
    <cfRule type="expression" dxfId="36" priority="45" stopIfTrue="1">
      <formula>AND(#REF!&lt;&gt;"COMPOSICAO",#REF!&lt;&gt;"INSUMO",#REF!&lt;&gt;"")</formula>
    </cfRule>
    <cfRule type="expression" dxfId="35" priority="46" stopIfTrue="1">
      <formula>AND(OR(#REF!="COMPOSICAO",#REF!="INSUMO",#REF!&lt;&gt;""),#REF!&lt;&gt;"")</formula>
    </cfRule>
  </conditionalFormatting>
  <conditionalFormatting sqref="E89:F89 E100:F100">
    <cfRule type="expression" dxfId="34" priority="39" stopIfTrue="1">
      <formula>AND(#REF!&lt;&gt;"COMPOSICAO",#REF!&lt;&gt;"INSUMO",#REF!&lt;&gt;"")</formula>
    </cfRule>
    <cfRule type="expression" dxfId="33" priority="40" stopIfTrue="1">
      <formula>AND(OR(#REF!="COMPOSICAO",#REF!="INSUMO",#REF!&lt;&gt;""),#REF!&lt;&gt;"")</formula>
    </cfRule>
  </conditionalFormatting>
  <conditionalFormatting sqref="E47:E49">
    <cfRule type="expression" dxfId="32" priority="37" stopIfTrue="1">
      <formula>AND(#REF!&lt;&gt;"COMPOSICAO",#REF!&lt;&gt;"INSUMO",#REF!&lt;&gt;"")</formula>
    </cfRule>
    <cfRule type="expression" dxfId="31" priority="38" stopIfTrue="1">
      <formula>AND(OR(#REF!="COMPOSICAO",#REF!="INSUMO",#REF!&lt;&gt;""),#REF!&lt;&gt;"")</formula>
    </cfRule>
  </conditionalFormatting>
  <conditionalFormatting sqref="E50">
    <cfRule type="expression" dxfId="30" priority="35" stopIfTrue="1">
      <formula>AND(#REF!&lt;&gt;"COMPOSICAO",#REF!&lt;&gt;"INSUMO",#REF!&lt;&gt;"")</formula>
    </cfRule>
    <cfRule type="expression" dxfId="29" priority="36" stopIfTrue="1">
      <formula>AND(OR(#REF!="COMPOSICAO",#REF!="INSUMO",#REF!&lt;&gt;""),#REF!&lt;&gt;"")</formula>
    </cfRule>
  </conditionalFormatting>
  <conditionalFormatting sqref="E51:F51">
    <cfRule type="expression" dxfId="28" priority="33" stopIfTrue="1">
      <formula>AND(#REF!&lt;&gt;"COMPOSICAO",#REF!&lt;&gt;"INSUMO",#REF!&lt;&gt;"")</formula>
    </cfRule>
    <cfRule type="expression" dxfId="27" priority="34" stopIfTrue="1">
      <formula>AND(OR(#REF!="COMPOSICAO",#REF!="INSUMO",#REF!&lt;&gt;""),#REF!&lt;&gt;"")</formula>
    </cfRule>
  </conditionalFormatting>
  <conditionalFormatting sqref="E74:E78">
    <cfRule type="expression" dxfId="26" priority="31" stopIfTrue="1">
      <formula>AND(#REF!&lt;&gt;"COMPOSICAO",#REF!&lt;&gt;"INSUMO",#REF!&lt;&gt;"")</formula>
    </cfRule>
    <cfRule type="expression" dxfId="25" priority="32" stopIfTrue="1">
      <formula>AND(OR(#REF!="COMPOSICAO",#REF!="INSUMO",#REF!&lt;&gt;""),#REF!&lt;&gt;"")</formula>
    </cfRule>
  </conditionalFormatting>
  <conditionalFormatting sqref="F73:F78">
    <cfRule type="expression" dxfId="24" priority="29" stopIfTrue="1">
      <formula>AND(#REF!&lt;&gt;"COMPOSICAO",#REF!&lt;&gt;"INSUMO",#REF!&lt;&gt;"")</formula>
    </cfRule>
    <cfRule type="expression" dxfId="23" priority="30" stopIfTrue="1">
      <formula>AND(OR(#REF!="COMPOSICAO",#REF!="INSUMO",#REF!&lt;&gt;""),#REF!&lt;&gt;"")</formula>
    </cfRule>
  </conditionalFormatting>
  <conditionalFormatting sqref="E108:F110">
    <cfRule type="expression" dxfId="22" priority="27" stopIfTrue="1">
      <formula>AND(#REF!&lt;&gt;"COMPOSICAO",#REF!&lt;&gt;"INSUMO",#REF!&lt;&gt;"")</formula>
    </cfRule>
    <cfRule type="expression" dxfId="21" priority="28" stopIfTrue="1">
      <formula>AND(OR(#REF!="COMPOSICAO",#REF!="INSUMO",#REF!&lt;&gt;""),#REF!&lt;&gt;"")</formula>
    </cfRule>
  </conditionalFormatting>
  <conditionalFormatting sqref="E113:F113">
    <cfRule type="expression" dxfId="20" priority="23" stopIfTrue="1">
      <formula>AND(#REF!&lt;&gt;"COMPOSICAO",#REF!&lt;&gt;"INSUMO",#REF!&lt;&gt;"")</formula>
    </cfRule>
    <cfRule type="expression" dxfId="19" priority="24" stopIfTrue="1">
      <formula>AND(OR(#REF!="COMPOSICAO",#REF!="INSUMO",#REF!&lt;&gt;""),#REF!&lt;&gt;"")</formula>
    </cfRule>
  </conditionalFormatting>
  <conditionalFormatting sqref="E126:F128">
    <cfRule type="expression" dxfId="18" priority="21" stopIfTrue="1">
      <formula>AND(#REF!&lt;&gt;"COMPOSICAO",#REF!&lt;&gt;"INSUMO",#REF!&lt;&gt;"")</formula>
    </cfRule>
    <cfRule type="expression" dxfId="17" priority="22" stopIfTrue="1">
      <formula>AND(OR(#REF!="COMPOSICAO",#REF!="INSUMO",#REF!&lt;&gt;""),#REF!&lt;&gt;"")</formula>
    </cfRule>
  </conditionalFormatting>
  <conditionalFormatting sqref="E123:F125">
    <cfRule type="expression" dxfId="16" priority="19" stopIfTrue="1">
      <formula>AND(#REF!&lt;&gt;"COMPOSICAO",#REF!&lt;&gt;"INSUMO",#REF!&lt;&gt;"")</formula>
    </cfRule>
    <cfRule type="expression" dxfId="15" priority="20" stopIfTrue="1">
      <formula>AND(OR(#REF!="COMPOSICAO",#REF!="INSUMO",#REF!&lt;&gt;""),#REF!&lt;&gt;"")</formula>
    </cfRule>
  </conditionalFormatting>
  <conditionalFormatting sqref="E129:F130">
    <cfRule type="expression" dxfId="14" priority="17" stopIfTrue="1">
      <formula>AND(#REF!&lt;&gt;"COMPOSICAO",#REF!&lt;&gt;"INSUMO",#REF!&lt;&gt;"")</formula>
    </cfRule>
    <cfRule type="expression" dxfId="13" priority="18" stopIfTrue="1">
      <formula>AND(OR(#REF!="COMPOSICAO",#REF!="INSUMO",#REF!&lt;&gt;""),#REF!&lt;&gt;"")</formula>
    </cfRule>
  </conditionalFormatting>
  <conditionalFormatting sqref="E141:F143">
    <cfRule type="expression" dxfId="12" priority="13" stopIfTrue="1">
      <formula>AND(#REF!&lt;&gt;"COMPOSICAO",#REF!&lt;&gt;"INSUMO",#REF!&lt;&gt;"")</formula>
    </cfRule>
    <cfRule type="expression" dxfId="11" priority="14" stopIfTrue="1">
      <formula>AND(OR(#REF!="COMPOSICAO",#REF!="INSUMO",#REF!&lt;&gt;""),#REF!&lt;&gt;"")</formula>
    </cfRule>
  </conditionalFormatting>
  <conditionalFormatting sqref="E146:F149">
    <cfRule type="expression" dxfId="10" priority="11" stopIfTrue="1">
      <formula>AND(#REF!&lt;&gt;"COMPOSICAO",#REF!&lt;&gt;"INSUMO",#REF!&lt;&gt;"")</formula>
    </cfRule>
    <cfRule type="expression" dxfId="9" priority="12" stopIfTrue="1">
      <formula>AND(OR(#REF!="COMPOSICAO",#REF!="INSUMO",#REF!&lt;&gt;""),#REF!&lt;&gt;"")</formula>
    </cfRule>
  </conditionalFormatting>
  <conditionalFormatting sqref="F36:F37">
    <cfRule type="expression" dxfId="8" priority="7" stopIfTrue="1">
      <formula>AND(#REF!&lt;&gt;"COMPOSICAO",#REF!&lt;&gt;"INSUMO",#REF!&lt;&gt;"")</formula>
    </cfRule>
    <cfRule type="expression" dxfId="7" priority="8" stopIfTrue="1">
      <formula>AND(OR(#REF!="COMPOSICAO",#REF!="INSUMO",#REF!&lt;&gt;""),#REF!&lt;&gt;"")</formula>
    </cfRule>
  </conditionalFormatting>
  <conditionalFormatting sqref="A36:E37">
    <cfRule type="expression" dxfId="6" priority="5" stopIfTrue="1">
      <formula>AND(#REF!&lt;&gt;"COMPOSICAO",#REF!&lt;&gt;"INSUMO",#REF!&lt;&gt;"")</formula>
    </cfRule>
    <cfRule type="expression" dxfId="5" priority="6" stopIfTrue="1">
      <formula>AND(OR(#REF!="COMPOSICAO",#REF!="INSUMO",#REF!&lt;&gt;""),#REF!&lt;&gt;"")</formula>
    </cfRule>
  </conditionalFormatting>
  <conditionalFormatting sqref="F61:F62">
    <cfRule type="expression" dxfId="4" priority="3" stopIfTrue="1">
      <formula>AND(#REF!&lt;&gt;"COMPOSICAO",#REF!&lt;&gt;"INSUMO",#REF!&lt;&gt;"")</formula>
    </cfRule>
    <cfRule type="expression" dxfId="3" priority="4" stopIfTrue="1">
      <formula>AND(OR(#REF!="COMPOSICAO",#REF!="INSUMO",#REF!&lt;&gt;""),#REF!&lt;&gt;"")</formula>
    </cfRule>
  </conditionalFormatting>
  <conditionalFormatting sqref="A61:E62">
    <cfRule type="expression" dxfId="2" priority="1" stopIfTrue="1">
      <formula>AND(#REF!&lt;&gt;"COMPOSICAO",#REF!&lt;&gt;"INSUMO",#REF!&lt;&gt;"")</formula>
    </cfRule>
    <cfRule type="expression" dxfId="1" priority="2" stopIfTrue="1">
      <formula>AND(OR(#REF!="COMPOSICAO",#REF!="INSUMO",#REF!&lt;&gt;""),#REF!&lt;&gt;"")</formula>
    </cfRule>
  </conditionalFormatting>
  <pageMargins left="0.98425196850393704" right="0.59055118110236227" top="1.1811023622047245" bottom="1.1811023622047245" header="0.47244094488188981" footer="0.31496062992125984"/>
  <pageSetup paperSize="9" orientation="portrait" r:id="rId1"/>
  <headerFooter>
    <oddHeader>&amp;C&amp;G</oddHeader>
    <oddFooter>&amp;C&amp;"Trebuchet MS,Itálico"&amp;9Rua Pedro Caetano Domingues, nº 33, Quincas Machado, Guaçuí – ES / CNPJ: 21.861.470/0001-10 
       contato.vmengenharia@gmail.com / (28) 9 9963 2562 / (28) 9 9966 6524&amp;R&amp;"Trebuchet MS,Itálico"&amp;9&amp;P de &amp;N</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7D9FF-61B1-4DE5-BC9F-4657D990CFEF}">
  <sheetPr>
    <tabColor theme="9" tint="-0.249977111117893"/>
  </sheetPr>
  <dimension ref="A1:H40"/>
  <sheetViews>
    <sheetView showGridLines="0" view="pageBreakPreview" zoomScaleNormal="115" zoomScaleSheetLayoutView="100" workbookViewId="0">
      <selection activeCell="F18" sqref="F18"/>
    </sheetView>
  </sheetViews>
  <sheetFormatPr defaultRowHeight="13.2" x14ac:dyDescent="0.25"/>
  <cols>
    <col min="1" max="1" width="11" style="190" bestFit="1" customWidth="1"/>
    <col min="2" max="2" width="40.44140625" style="190" customWidth="1"/>
    <col min="3" max="3" width="11.6640625" style="196" customWidth="1"/>
    <col min="4" max="4" width="3.109375" style="218" bestFit="1" customWidth="1"/>
    <col min="5" max="5" width="11" style="125" bestFit="1" customWidth="1"/>
    <col min="6" max="6" width="34.44140625" style="125" customWidth="1"/>
    <col min="7" max="256" width="9.109375" style="125"/>
    <col min="257" max="257" width="11" style="125" bestFit="1" customWidth="1"/>
    <col min="258" max="258" width="40.44140625" style="125" customWidth="1"/>
    <col min="259" max="259" width="11.6640625" style="125" customWidth="1"/>
    <col min="260" max="260" width="3.109375" style="125" bestFit="1" customWidth="1"/>
    <col min="261" max="261" width="11" style="125" bestFit="1" customWidth="1"/>
    <col min="262" max="262" width="34.44140625" style="125" customWidth="1"/>
    <col min="263" max="512" width="9.109375" style="125"/>
    <col min="513" max="513" width="11" style="125" bestFit="1" customWidth="1"/>
    <col min="514" max="514" width="40.44140625" style="125" customWidth="1"/>
    <col min="515" max="515" width="11.6640625" style="125" customWidth="1"/>
    <col min="516" max="516" width="3.109375" style="125" bestFit="1" customWidth="1"/>
    <col min="517" max="517" width="11" style="125" bestFit="1" customWidth="1"/>
    <col min="518" max="518" width="34.44140625" style="125" customWidth="1"/>
    <col min="519" max="768" width="9.109375" style="125"/>
    <col min="769" max="769" width="11" style="125" bestFit="1" customWidth="1"/>
    <col min="770" max="770" width="40.44140625" style="125" customWidth="1"/>
    <col min="771" max="771" width="11.6640625" style="125" customWidth="1"/>
    <col min="772" max="772" width="3.109375" style="125" bestFit="1" customWidth="1"/>
    <col min="773" max="773" width="11" style="125" bestFit="1" customWidth="1"/>
    <col min="774" max="774" width="34.44140625" style="125" customWidth="1"/>
    <col min="775" max="1024" width="9.109375" style="125"/>
    <col min="1025" max="1025" width="11" style="125" bestFit="1" customWidth="1"/>
    <col min="1026" max="1026" width="40.44140625" style="125" customWidth="1"/>
    <col min="1027" max="1027" width="11.6640625" style="125" customWidth="1"/>
    <col min="1028" max="1028" width="3.109375" style="125" bestFit="1" customWidth="1"/>
    <col min="1029" max="1029" width="11" style="125" bestFit="1" customWidth="1"/>
    <col min="1030" max="1030" width="34.44140625" style="125" customWidth="1"/>
    <col min="1031" max="1280" width="9.109375" style="125"/>
    <col min="1281" max="1281" width="11" style="125" bestFit="1" customWidth="1"/>
    <col min="1282" max="1282" width="40.44140625" style="125" customWidth="1"/>
    <col min="1283" max="1283" width="11.6640625" style="125" customWidth="1"/>
    <col min="1284" max="1284" width="3.109375" style="125" bestFit="1" customWidth="1"/>
    <col min="1285" max="1285" width="11" style="125" bestFit="1" customWidth="1"/>
    <col min="1286" max="1286" width="34.44140625" style="125" customWidth="1"/>
    <col min="1287" max="1536" width="9.109375" style="125"/>
    <col min="1537" max="1537" width="11" style="125" bestFit="1" customWidth="1"/>
    <col min="1538" max="1538" width="40.44140625" style="125" customWidth="1"/>
    <col min="1539" max="1539" width="11.6640625" style="125" customWidth="1"/>
    <col min="1540" max="1540" width="3.109375" style="125" bestFit="1" customWidth="1"/>
    <col min="1541" max="1541" width="11" style="125" bestFit="1" customWidth="1"/>
    <col min="1542" max="1542" width="34.44140625" style="125" customWidth="1"/>
    <col min="1543" max="1792" width="9.109375" style="125"/>
    <col min="1793" max="1793" width="11" style="125" bestFit="1" customWidth="1"/>
    <col min="1794" max="1794" width="40.44140625" style="125" customWidth="1"/>
    <col min="1795" max="1795" width="11.6640625" style="125" customWidth="1"/>
    <col min="1796" max="1796" width="3.109375" style="125" bestFit="1" customWidth="1"/>
    <col min="1797" max="1797" width="11" style="125" bestFit="1" customWidth="1"/>
    <col min="1798" max="1798" width="34.44140625" style="125" customWidth="1"/>
    <col min="1799" max="2048" width="9.109375" style="125"/>
    <col min="2049" max="2049" width="11" style="125" bestFit="1" customWidth="1"/>
    <col min="2050" max="2050" width="40.44140625" style="125" customWidth="1"/>
    <col min="2051" max="2051" width="11.6640625" style="125" customWidth="1"/>
    <col min="2052" max="2052" width="3.109375" style="125" bestFit="1" customWidth="1"/>
    <col min="2053" max="2053" width="11" style="125" bestFit="1" customWidth="1"/>
    <col min="2054" max="2054" width="34.44140625" style="125" customWidth="1"/>
    <col min="2055" max="2304" width="9.109375" style="125"/>
    <col min="2305" max="2305" width="11" style="125" bestFit="1" customWidth="1"/>
    <col min="2306" max="2306" width="40.44140625" style="125" customWidth="1"/>
    <col min="2307" max="2307" width="11.6640625" style="125" customWidth="1"/>
    <col min="2308" max="2308" width="3.109375" style="125" bestFit="1" customWidth="1"/>
    <col min="2309" max="2309" width="11" style="125" bestFit="1" customWidth="1"/>
    <col min="2310" max="2310" width="34.44140625" style="125" customWidth="1"/>
    <col min="2311" max="2560" width="9.109375" style="125"/>
    <col min="2561" max="2561" width="11" style="125" bestFit="1" customWidth="1"/>
    <col min="2562" max="2562" width="40.44140625" style="125" customWidth="1"/>
    <col min="2563" max="2563" width="11.6640625" style="125" customWidth="1"/>
    <col min="2564" max="2564" width="3.109375" style="125" bestFit="1" customWidth="1"/>
    <col min="2565" max="2565" width="11" style="125" bestFit="1" customWidth="1"/>
    <col min="2566" max="2566" width="34.44140625" style="125" customWidth="1"/>
    <col min="2567" max="2816" width="9.109375" style="125"/>
    <col min="2817" max="2817" width="11" style="125" bestFit="1" customWidth="1"/>
    <col min="2818" max="2818" width="40.44140625" style="125" customWidth="1"/>
    <col min="2819" max="2819" width="11.6640625" style="125" customWidth="1"/>
    <col min="2820" max="2820" width="3.109375" style="125" bestFit="1" customWidth="1"/>
    <col min="2821" max="2821" width="11" style="125" bestFit="1" customWidth="1"/>
    <col min="2822" max="2822" width="34.44140625" style="125" customWidth="1"/>
    <col min="2823" max="3072" width="9.109375" style="125"/>
    <col min="3073" max="3073" width="11" style="125" bestFit="1" customWidth="1"/>
    <col min="3074" max="3074" width="40.44140625" style="125" customWidth="1"/>
    <col min="3075" max="3075" width="11.6640625" style="125" customWidth="1"/>
    <col min="3076" max="3076" width="3.109375" style="125" bestFit="1" customWidth="1"/>
    <col min="3077" max="3077" width="11" style="125" bestFit="1" customWidth="1"/>
    <col min="3078" max="3078" width="34.44140625" style="125" customWidth="1"/>
    <col min="3079" max="3328" width="9.109375" style="125"/>
    <col min="3329" max="3329" width="11" style="125" bestFit="1" customWidth="1"/>
    <col min="3330" max="3330" width="40.44140625" style="125" customWidth="1"/>
    <col min="3331" max="3331" width="11.6640625" style="125" customWidth="1"/>
    <col min="3332" max="3332" width="3.109375" style="125" bestFit="1" customWidth="1"/>
    <col min="3333" max="3333" width="11" style="125" bestFit="1" customWidth="1"/>
    <col min="3334" max="3334" width="34.44140625" style="125" customWidth="1"/>
    <col min="3335" max="3584" width="9.109375" style="125"/>
    <col min="3585" max="3585" width="11" style="125" bestFit="1" customWidth="1"/>
    <col min="3586" max="3586" width="40.44140625" style="125" customWidth="1"/>
    <col min="3587" max="3587" width="11.6640625" style="125" customWidth="1"/>
    <col min="3588" max="3588" width="3.109375" style="125" bestFit="1" customWidth="1"/>
    <col min="3589" max="3589" width="11" style="125" bestFit="1" customWidth="1"/>
    <col min="3590" max="3590" width="34.44140625" style="125" customWidth="1"/>
    <col min="3591" max="3840" width="9.109375" style="125"/>
    <col min="3841" max="3841" width="11" style="125" bestFit="1" customWidth="1"/>
    <col min="3842" max="3842" width="40.44140625" style="125" customWidth="1"/>
    <col min="3843" max="3843" width="11.6640625" style="125" customWidth="1"/>
    <col min="3844" max="3844" width="3.109375" style="125" bestFit="1" customWidth="1"/>
    <col min="3845" max="3845" width="11" style="125" bestFit="1" customWidth="1"/>
    <col min="3846" max="3846" width="34.44140625" style="125" customWidth="1"/>
    <col min="3847" max="4096" width="9.109375" style="125"/>
    <col min="4097" max="4097" width="11" style="125" bestFit="1" customWidth="1"/>
    <col min="4098" max="4098" width="40.44140625" style="125" customWidth="1"/>
    <col min="4099" max="4099" width="11.6640625" style="125" customWidth="1"/>
    <col min="4100" max="4100" width="3.109375" style="125" bestFit="1" customWidth="1"/>
    <col min="4101" max="4101" width="11" style="125" bestFit="1" customWidth="1"/>
    <col min="4102" max="4102" width="34.44140625" style="125" customWidth="1"/>
    <col min="4103" max="4352" width="9.109375" style="125"/>
    <col min="4353" max="4353" width="11" style="125" bestFit="1" customWidth="1"/>
    <col min="4354" max="4354" width="40.44140625" style="125" customWidth="1"/>
    <col min="4355" max="4355" width="11.6640625" style="125" customWidth="1"/>
    <col min="4356" max="4356" width="3.109375" style="125" bestFit="1" customWidth="1"/>
    <col min="4357" max="4357" width="11" style="125" bestFit="1" customWidth="1"/>
    <col min="4358" max="4358" width="34.44140625" style="125" customWidth="1"/>
    <col min="4359" max="4608" width="9.109375" style="125"/>
    <col min="4609" max="4609" width="11" style="125" bestFit="1" customWidth="1"/>
    <col min="4610" max="4610" width="40.44140625" style="125" customWidth="1"/>
    <col min="4611" max="4611" width="11.6640625" style="125" customWidth="1"/>
    <col min="4612" max="4612" width="3.109375" style="125" bestFit="1" customWidth="1"/>
    <col min="4613" max="4613" width="11" style="125" bestFit="1" customWidth="1"/>
    <col min="4614" max="4614" width="34.44140625" style="125" customWidth="1"/>
    <col min="4615" max="4864" width="9.109375" style="125"/>
    <col min="4865" max="4865" width="11" style="125" bestFit="1" customWidth="1"/>
    <col min="4866" max="4866" width="40.44140625" style="125" customWidth="1"/>
    <col min="4867" max="4867" width="11.6640625" style="125" customWidth="1"/>
    <col min="4868" max="4868" width="3.109375" style="125" bestFit="1" customWidth="1"/>
    <col min="4869" max="4869" width="11" style="125" bestFit="1" customWidth="1"/>
    <col min="4870" max="4870" width="34.44140625" style="125" customWidth="1"/>
    <col min="4871" max="5120" width="9.109375" style="125"/>
    <col min="5121" max="5121" width="11" style="125" bestFit="1" customWidth="1"/>
    <col min="5122" max="5122" width="40.44140625" style="125" customWidth="1"/>
    <col min="5123" max="5123" width="11.6640625" style="125" customWidth="1"/>
    <col min="5124" max="5124" width="3.109375" style="125" bestFit="1" customWidth="1"/>
    <col min="5125" max="5125" width="11" style="125" bestFit="1" customWidth="1"/>
    <col min="5126" max="5126" width="34.44140625" style="125" customWidth="1"/>
    <col min="5127" max="5376" width="9.109375" style="125"/>
    <col min="5377" max="5377" width="11" style="125" bestFit="1" customWidth="1"/>
    <col min="5378" max="5378" width="40.44140625" style="125" customWidth="1"/>
    <col min="5379" max="5379" width="11.6640625" style="125" customWidth="1"/>
    <col min="5380" max="5380" width="3.109375" style="125" bestFit="1" customWidth="1"/>
    <col min="5381" max="5381" width="11" style="125" bestFit="1" customWidth="1"/>
    <col min="5382" max="5382" width="34.44140625" style="125" customWidth="1"/>
    <col min="5383" max="5632" width="9.109375" style="125"/>
    <col min="5633" max="5633" width="11" style="125" bestFit="1" customWidth="1"/>
    <col min="5634" max="5634" width="40.44140625" style="125" customWidth="1"/>
    <col min="5635" max="5635" width="11.6640625" style="125" customWidth="1"/>
    <col min="5636" max="5636" width="3.109375" style="125" bestFit="1" customWidth="1"/>
    <col min="5637" max="5637" width="11" style="125" bestFit="1" customWidth="1"/>
    <col min="5638" max="5638" width="34.44140625" style="125" customWidth="1"/>
    <col min="5639" max="5888" width="9.109375" style="125"/>
    <col min="5889" max="5889" width="11" style="125" bestFit="1" customWidth="1"/>
    <col min="5890" max="5890" width="40.44140625" style="125" customWidth="1"/>
    <col min="5891" max="5891" width="11.6640625" style="125" customWidth="1"/>
    <col min="5892" max="5892" width="3.109375" style="125" bestFit="1" customWidth="1"/>
    <col min="5893" max="5893" width="11" style="125" bestFit="1" customWidth="1"/>
    <col min="5894" max="5894" width="34.44140625" style="125" customWidth="1"/>
    <col min="5895" max="6144" width="9.109375" style="125"/>
    <col min="6145" max="6145" width="11" style="125" bestFit="1" customWidth="1"/>
    <col min="6146" max="6146" width="40.44140625" style="125" customWidth="1"/>
    <col min="6147" max="6147" width="11.6640625" style="125" customWidth="1"/>
    <col min="6148" max="6148" width="3.109375" style="125" bestFit="1" customWidth="1"/>
    <col min="6149" max="6149" width="11" style="125" bestFit="1" customWidth="1"/>
    <col min="6150" max="6150" width="34.44140625" style="125" customWidth="1"/>
    <col min="6151" max="6400" width="9.109375" style="125"/>
    <col min="6401" max="6401" width="11" style="125" bestFit="1" customWidth="1"/>
    <col min="6402" max="6402" width="40.44140625" style="125" customWidth="1"/>
    <col min="6403" max="6403" width="11.6640625" style="125" customWidth="1"/>
    <col min="6404" max="6404" width="3.109375" style="125" bestFit="1" customWidth="1"/>
    <col min="6405" max="6405" width="11" style="125" bestFit="1" customWidth="1"/>
    <col min="6406" max="6406" width="34.44140625" style="125" customWidth="1"/>
    <col min="6407" max="6656" width="9.109375" style="125"/>
    <col min="6657" max="6657" width="11" style="125" bestFit="1" customWidth="1"/>
    <col min="6658" max="6658" width="40.44140625" style="125" customWidth="1"/>
    <col min="6659" max="6659" width="11.6640625" style="125" customWidth="1"/>
    <col min="6660" max="6660" width="3.109375" style="125" bestFit="1" customWidth="1"/>
    <col min="6661" max="6661" width="11" style="125" bestFit="1" customWidth="1"/>
    <col min="6662" max="6662" width="34.44140625" style="125" customWidth="1"/>
    <col min="6663" max="6912" width="9.109375" style="125"/>
    <col min="6913" max="6913" width="11" style="125" bestFit="1" customWidth="1"/>
    <col min="6914" max="6914" width="40.44140625" style="125" customWidth="1"/>
    <col min="6915" max="6915" width="11.6640625" style="125" customWidth="1"/>
    <col min="6916" max="6916" width="3.109375" style="125" bestFit="1" customWidth="1"/>
    <col min="6917" max="6917" width="11" style="125" bestFit="1" customWidth="1"/>
    <col min="6918" max="6918" width="34.44140625" style="125" customWidth="1"/>
    <col min="6919" max="7168" width="9.109375" style="125"/>
    <col min="7169" max="7169" width="11" style="125" bestFit="1" customWidth="1"/>
    <col min="7170" max="7170" width="40.44140625" style="125" customWidth="1"/>
    <col min="7171" max="7171" width="11.6640625" style="125" customWidth="1"/>
    <col min="7172" max="7172" width="3.109375" style="125" bestFit="1" customWidth="1"/>
    <col min="7173" max="7173" width="11" style="125" bestFit="1" customWidth="1"/>
    <col min="7174" max="7174" width="34.44140625" style="125" customWidth="1"/>
    <col min="7175" max="7424" width="9.109375" style="125"/>
    <col min="7425" max="7425" width="11" style="125" bestFit="1" customWidth="1"/>
    <col min="7426" max="7426" width="40.44140625" style="125" customWidth="1"/>
    <col min="7427" max="7427" width="11.6640625" style="125" customWidth="1"/>
    <col min="7428" max="7428" width="3.109375" style="125" bestFit="1" customWidth="1"/>
    <col min="7429" max="7429" width="11" style="125" bestFit="1" customWidth="1"/>
    <col min="7430" max="7430" width="34.44140625" style="125" customWidth="1"/>
    <col min="7431" max="7680" width="9.109375" style="125"/>
    <col min="7681" max="7681" width="11" style="125" bestFit="1" customWidth="1"/>
    <col min="7682" max="7682" width="40.44140625" style="125" customWidth="1"/>
    <col min="7683" max="7683" width="11.6640625" style="125" customWidth="1"/>
    <col min="7684" max="7684" width="3.109375" style="125" bestFit="1" customWidth="1"/>
    <col min="7685" max="7685" width="11" style="125" bestFit="1" customWidth="1"/>
    <col min="7686" max="7686" width="34.44140625" style="125" customWidth="1"/>
    <col min="7687" max="7936" width="9.109375" style="125"/>
    <col min="7937" max="7937" width="11" style="125" bestFit="1" customWidth="1"/>
    <col min="7938" max="7938" width="40.44140625" style="125" customWidth="1"/>
    <col min="7939" max="7939" width="11.6640625" style="125" customWidth="1"/>
    <col min="7940" max="7940" width="3.109375" style="125" bestFit="1" customWidth="1"/>
    <col min="7941" max="7941" width="11" style="125" bestFit="1" customWidth="1"/>
    <col min="7942" max="7942" width="34.44140625" style="125" customWidth="1"/>
    <col min="7943" max="8192" width="9.109375" style="125"/>
    <col min="8193" max="8193" width="11" style="125" bestFit="1" customWidth="1"/>
    <col min="8194" max="8194" width="40.44140625" style="125" customWidth="1"/>
    <col min="8195" max="8195" width="11.6640625" style="125" customWidth="1"/>
    <col min="8196" max="8196" width="3.109375" style="125" bestFit="1" customWidth="1"/>
    <col min="8197" max="8197" width="11" style="125" bestFit="1" customWidth="1"/>
    <col min="8198" max="8198" width="34.44140625" style="125" customWidth="1"/>
    <col min="8199" max="8448" width="9.109375" style="125"/>
    <col min="8449" max="8449" width="11" style="125" bestFit="1" customWidth="1"/>
    <col min="8450" max="8450" width="40.44140625" style="125" customWidth="1"/>
    <col min="8451" max="8451" width="11.6640625" style="125" customWidth="1"/>
    <col min="8452" max="8452" width="3.109375" style="125" bestFit="1" customWidth="1"/>
    <col min="8453" max="8453" width="11" style="125" bestFit="1" customWidth="1"/>
    <col min="8454" max="8454" width="34.44140625" style="125" customWidth="1"/>
    <col min="8455" max="8704" width="9.109375" style="125"/>
    <col min="8705" max="8705" width="11" style="125" bestFit="1" customWidth="1"/>
    <col min="8706" max="8706" width="40.44140625" style="125" customWidth="1"/>
    <col min="8707" max="8707" width="11.6640625" style="125" customWidth="1"/>
    <col min="8708" max="8708" width="3.109375" style="125" bestFit="1" customWidth="1"/>
    <col min="8709" max="8709" width="11" style="125" bestFit="1" customWidth="1"/>
    <col min="8710" max="8710" width="34.44140625" style="125" customWidth="1"/>
    <col min="8711" max="8960" width="9.109375" style="125"/>
    <col min="8961" max="8961" width="11" style="125" bestFit="1" customWidth="1"/>
    <col min="8962" max="8962" width="40.44140625" style="125" customWidth="1"/>
    <col min="8963" max="8963" width="11.6640625" style="125" customWidth="1"/>
    <col min="8964" max="8964" width="3.109375" style="125" bestFit="1" customWidth="1"/>
    <col min="8965" max="8965" width="11" style="125" bestFit="1" customWidth="1"/>
    <col min="8966" max="8966" width="34.44140625" style="125" customWidth="1"/>
    <col min="8967" max="9216" width="9.109375" style="125"/>
    <col min="9217" max="9217" width="11" style="125" bestFit="1" customWidth="1"/>
    <col min="9218" max="9218" width="40.44140625" style="125" customWidth="1"/>
    <col min="9219" max="9219" width="11.6640625" style="125" customWidth="1"/>
    <col min="9220" max="9220" width="3.109375" style="125" bestFit="1" customWidth="1"/>
    <col min="9221" max="9221" width="11" style="125" bestFit="1" customWidth="1"/>
    <col min="9222" max="9222" width="34.44140625" style="125" customWidth="1"/>
    <col min="9223" max="9472" width="9.109375" style="125"/>
    <col min="9473" max="9473" width="11" style="125" bestFit="1" customWidth="1"/>
    <col min="9474" max="9474" width="40.44140625" style="125" customWidth="1"/>
    <col min="9475" max="9475" width="11.6640625" style="125" customWidth="1"/>
    <col min="9476" max="9476" width="3.109375" style="125" bestFit="1" customWidth="1"/>
    <col min="9477" max="9477" width="11" style="125" bestFit="1" customWidth="1"/>
    <col min="9478" max="9478" width="34.44140625" style="125" customWidth="1"/>
    <col min="9479" max="9728" width="9.109375" style="125"/>
    <col min="9729" max="9729" width="11" style="125" bestFit="1" customWidth="1"/>
    <col min="9730" max="9730" width="40.44140625" style="125" customWidth="1"/>
    <col min="9731" max="9731" width="11.6640625" style="125" customWidth="1"/>
    <col min="9732" max="9732" width="3.109375" style="125" bestFit="1" customWidth="1"/>
    <col min="9733" max="9733" width="11" style="125" bestFit="1" customWidth="1"/>
    <col min="9734" max="9734" width="34.44140625" style="125" customWidth="1"/>
    <col min="9735" max="9984" width="9.109375" style="125"/>
    <col min="9985" max="9985" width="11" style="125" bestFit="1" customWidth="1"/>
    <col min="9986" max="9986" width="40.44140625" style="125" customWidth="1"/>
    <col min="9987" max="9987" width="11.6640625" style="125" customWidth="1"/>
    <col min="9988" max="9988" width="3.109375" style="125" bestFit="1" customWidth="1"/>
    <col min="9989" max="9989" width="11" style="125" bestFit="1" customWidth="1"/>
    <col min="9990" max="9990" width="34.44140625" style="125" customWidth="1"/>
    <col min="9991" max="10240" width="9.109375" style="125"/>
    <col min="10241" max="10241" width="11" style="125" bestFit="1" customWidth="1"/>
    <col min="10242" max="10242" width="40.44140625" style="125" customWidth="1"/>
    <col min="10243" max="10243" width="11.6640625" style="125" customWidth="1"/>
    <col min="10244" max="10244" width="3.109375" style="125" bestFit="1" customWidth="1"/>
    <col min="10245" max="10245" width="11" style="125" bestFit="1" customWidth="1"/>
    <col min="10246" max="10246" width="34.44140625" style="125" customWidth="1"/>
    <col min="10247" max="10496" width="9.109375" style="125"/>
    <col min="10497" max="10497" width="11" style="125" bestFit="1" customWidth="1"/>
    <col min="10498" max="10498" width="40.44140625" style="125" customWidth="1"/>
    <col min="10499" max="10499" width="11.6640625" style="125" customWidth="1"/>
    <col min="10500" max="10500" width="3.109375" style="125" bestFit="1" customWidth="1"/>
    <col min="10501" max="10501" width="11" style="125" bestFit="1" customWidth="1"/>
    <col min="10502" max="10502" width="34.44140625" style="125" customWidth="1"/>
    <col min="10503" max="10752" width="9.109375" style="125"/>
    <col min="10753" max="10753" width="11" style="125" bestFit="1" customWidth="1"/>
    <col min="10754" max="10754" width="40.44140625" style="125" customWidth="1"/>
    <col min="10755" max="10755" width="11.6640625" style="125" customWidth="1"/>
    <col min="10756" max="10756" width="3.109375" style="125" bestFit="1" customWidth="1"/>
    <col min="10757" max="10757" width="11" style="125" bestFit="1" customWidth="1"/>
    <col min="10758" max="10758" width="34.44140625" style="125" customWidth="1"/>
    <col min="10759" max="11008" width="9.109375" style="125"/>
    <col min="11009" max="11009" width="11" style="125" bestFit="1" customWidth="1"/>
    <col min="11010" max="11010" width="40.44140625" style="125" customWidth="1"/>
    <col min="11011" max="11011" width="11.6640625" style="125" customWidth="1"/>
    <col min="11012" max="11012" width="3.109375" style="125" bestFit="1" customWidth="1"/>
    <col min="11013" max="11013" width="11" style="125" bestFit="1" customWidth="1"/>
    <col min="11014" max="11014" width="34.44140625" style="125" customWidth="1"/>
    <col min="11015" max="11264" width="9.109375" style="125"/>
    <col min="11265" max="11265" width="11" style="125" bestFit="1" customWidth="1"/>
    <col min="11266" max="11266" width="40.44140625" style="125" customWidth="1"/>
    <col min="11267" max="11267" width="11.6640625" style="125" customWidth="1"/>
    <col min="11268" max="11268" width="3.109375" style="125" bestFit="1" customWidth="1"/>
    <col min="11269" max="11269" width="11" style="125" bestFit="1" customWidth="1"/>
    <col min="11270" max="11270" width="34.44140625" style="125" customWidth="1"/>
    <col min="11271" max="11520" width="9.109375" style="125"/>
    <col min="11521" max="11521" width="11" style="125" bestFit="1" customWidth="1"/>
    <col min="11522" max="11522" width="40.44140625" style="125" customWidth="1"/>
    <col min="11523" max="11523" width="11.6640625" style="125" customWidth="1"/>
    <col min="11524" max="11524" width="3.109375" style="125" bestFit="1" customWidth="1"/>
    <col min="11525" max="11525" width="11" style="125" bestFit="1" customWidth="1"/>
    <col min="11526" max="11526" width="34.44140625" style="125" customWidth="1"/>
    <col min="11527" max="11776" width="9.109375" style="125"/>
    <col min="11777" max="11777" width="11" style="125" bestFit="1" customWidth="1"/>
    <col min="11778" max="11778" width="40.44140625" style="125" customWidth="1"/>
    <col min="11779" max="11779" width="11.6640625" style="125" customWidth="1"/>
    <col min="11780" max="11780" width="3.109375" style="125" bestFit="1" customWidth="1"/>
    <col min="11781" max="11781" width="11" style="125" bestFit="1" customWidth="1"/>
    <col min="11782" max="11782" width="34.44140625" style="125" customWidth="1"/>
    <col min="11783" max="12032" width="9.109375" style="125"/>
    <col min="12033" max="12033" width="11" style="125" bestFit="1" customWidth="1"/>
    <col min="12034" max="12034" width="40.44140625" style="125" customWidth="1"/>
    <col min="12035" max="12035" width="11.6640625" style="125" customWidth="1"/>
    <col min="12036" max="12036" width="3.109375" style="125" bestFit="1" customWidth="1"/>
    <col min="12037" max="12037" width="11" style="125" bestFit="1" customWidth="1"/>
    <col min="12038" max="12038" width="34.44140625" style="125" customWidth="1"/>
    <col min="12039" max="12288" width="9.109375" style="125"/>
    <col min="12289" max="12289" width="11" style="125" bestFit="1" customWidth="1"/>
    <col min="12290" max="12290" width="40.44140625" style="125" customWidth="1"/>
    <col min="12291" max="12291" width="11.6640625" style="125" customWidth="1"/>
    <col min="12292" max="12292" width="3.109375" style="125" bestFit="1" customWidth="1"/>
    <col min="12293" max="12293" width="11" style="125" bestFit="1" customWidth="1"/>
    <col min="12294" max="12294" width="34.44140625" style="125" customWidth="1"/>
    <col min="12295" max="12544" width="9.109375" style="125"/>
    <col min="12545" max="12545" width="11" style="125" bestFit="1" customWidth="1"/>
    <col min="12546" max="12546" width="40.44140625" style="125" customWidth="1"/>
    <col min="12547" max="12547" width="11.6640625" style="125" customWidth="1"/>
    <col min="12548" max="12548" width="3.109375" style="125" bestFit="1" customWidth="1"/>
    <col min="12549" max="12549" width="11" style="125" bestFit="1" customWidth="1"/>
    <col min="12550" max="12550" width="34.44140625" style="125" customWidth="1"/>
    <col min="12551" max="12800" width="9.109375" style="125"/>
    <col min="12801" max="12801" width="11" style="125" bestFit="1" customWidth="1"/>
    <col min="12802" max="12802" width="40.44140625" style="125" customWidth="1"/>
    <col min="12803" max="12803" width="11.6640625" style="125" customWidth="1"/>
    <col min="12804" max="12804" width="3.109375" style="125" bestFit="1" customWidth="1"/>
    <col min="12805" max="12805" width="11" style="125" bestFit="1" customWidth="1"/>
    <col min="12806" max="12806" width="34.44140625" style="125" customWidth="1"/>
    <col min="12807" max="13056" width="9.109375" style="125"/>
    <col min="13057" max="13057" width="11" style="125" bestFit="1" customWidth="1"/>
    <col min="13058" max="13058" width="40.44140625" style="125" customWidth="1"/>
    <col min="13059" max="13059" width="11.6640625" style="125" customWidth="1"/>
    <col min="13060" max="13060" width="3.109375" style="125" bestFit="1" customWidth="1"/>
    <col min="13061" max="13061" width="11" style="125" bestFit="1" customWidth="1"/>
    <col min="13062" max="13062" width="34.44140625" style="125" customWidth="1"/>
    <col min="13063" max="13312" width="9.109375" style="125"/>
    <col min="13313" max="13313" width="11" style="125" bestFit="1" customWidth="1"/>
    <col min="13314" max="13314" width="40.44140625" style="125" customWidth="1"/>
    <col min="13315" max="13315" width="11.6640625" style="125" customWidth="1"/>
    <col min="13316" max="13316" width="3.109375" style="125" bestFit="1" customWidth="1"/>
    <col min="13317" max="13317" width="11" style="125" bestFit="1" customWidth="1"/>
    <col min="13318" max="13318" width="34.44140625" style="125" customWidth="1"/>
    <col min="13319" max="13568" width="9.109375" style="125"/>
    <col min="13569" max="13569" width="11" style="125" bestFit="1" customWidth="1"/>
    <col min="13570" max="13570" width="40.44140625" style="125" customWidth="1"/>
    <col min="13571" max="13571" width="11.6640625" style="125" customWidth="1"/>
    <col min="13572" max="13572" width="3.109375" style="125" bestFit="1" customWidth="1"/>
    <col min="13573" max="13573" width="11" style="125" bestFit="1" customWidth="1"/>
    <col min="13574" max="13574" width="34.44140625" style="125" customWidth="1"/>
    <col min="13575" max="13824" width="9.109375" style="125"/>
    <col min="13825" max="13825" width="11" style="125" bestFit="1" customWidth="1"/>
    <col min="13826" max="13826" width="40.44140625" style="125" customWidth="1"/>
    <col min="13827" max="13827" width="11.6640625" style="125" customWidth="1"/>
    <col min="13828" max="13828" width="3.109375" style="125" bestFit="1" customWidth="1"/>
    <col min="13829" max="13829" width="11" style="125" bestFit="1" customWidth="1"/>
    <col min="13830" max="13830" width="34.44140625" style="125" customWidth="1"/>
    <col min="13831" max="14080" width="9.109375" style="125"/>
    <col min="14081" max="14081" width="11" style="125" bestFit="1" customWidth="1"/>
    <col min="14082" max="14082" width="40.44140625" style="125" customWidth="1"/>
    <col min="14083" max="14083" width="11.6640625" style="125" customWidth="1"/>
    <col min="14084" max="14084" width="3.109375" style="125" bestFit="1" customWidth="1"/>
    <col min="14085" max="14085" width="11" style="125" bestFit="1" customWidth="1"/>
    <col min="14086" max="14086" width="34.44140625" style="125" customWidth="1"/>
    <col min="14087" max="14336" width="9.109375" style="125"/>
    <col min="14337" max="14337" width="11" style="125" bestFit="1" customWidth="1"/>
    <col min="14338" max="14338" width="40.44140625" style="125" customWidth="1"/>
    <col min="14339" max="14339" width="11.6640625" style="125" customWidth="1"/>
    <col min="14340" max="14340" width="3.109375" style="125" bestFit="1" customWidth="1"/>
    <col min="14341" max="14341" width="11" style="125" bestFit="1" customWidth="1"/>
    <col min="14342" max="14342" width="34.44140625" style="125" customWidth="1"/>
    <col min="14343" max="14592" width="9.109375" style="125"/>
    <col min="14593" max="14593" width="11" style="125" bestFit="1" customWidth="1"/>
    <col min="14594" max="14594" width="40.44140625" style="125" customWidth="1"/>
    <col min="14595" max="14595" width="11.6640625" style="125" customWidth="1"/>
    <col min="14596" max="14596" width="3.109375" style="125" bestFit="1" customWidth="1"/>
    <col min="14597" max="14597" width="11" style="125" bestFit="1" customWidth="1"/>
    <col min="14598" max="14598" width="34.44140625" style="125" customWidth="1"/>
    <col min="14599" max="14848" width="9.109375" style="125"/>
    <col min="14849" max="14849" width="11" style="125" bestFit="1" customWidth="1"/>
    <col min="14850" max="14850" width="40.44140625" style="125" customWidth="1"/>
    <col min="14851" max="14851" width="11.6640625" style="125" customWidth="1"/>
    <col min="14852" max="14852" width="3.109375" style="125" bestFit="1" customWidth="1"/>
    <col min="14853" max="14853" width="11" style="125" bestFit="1" customWidth="1"/>
    <col min="14854" max="14854" width="34.44140625" style="125" customWidth="1"/>
    <col min="14855" max="15104" width="9.109375" style="125"/>
    <col min="15105" max="15105" width="11" style="125" bestFit="1" customWidth="1"/>
    <col min="15106" max="15106" width="40.44140625" style="125" customWidth="1"/>
    <col min="15107" max="15107" width="11.6640625" style="125" customWidth="1"/>
    <col min="15108" max="15108" width="3.109375" style="125" bestFit="1" customWidth="1"/>
    <col min="15109" max="15109" width="11" style="125" bestFit="1" customWidth="1"/>
    <col min="15110" max="15110" width="34.44140625" style="125" customWidth="1"/>
    <col min="15111" max="15360" width="9.109375" style="125"/>
    <col min="15361" max="15361" width="11" style="125" bestFit="1" customWidth="1"/>
    <col min="15362" max="15362" width="40.44140625" style="125" customWidth="1"/>
    <col min="15363" max="15363" width="11.6640625" style="125" customWidth="1"/>
    <col min="15364" max="15364" width="3.109375" style="125" bestFit="1" customWidth="1"/>
    <col min="15365" max="15365" width="11" style="125" bestFit="1" customWidth="1"/>
    <col min="15366" max="15366" width="34.44140625" style="125" customWidth="1"/>
    <col min="15367" max="15616" width="9.109375" style="125"/>
    <col min="15617" max="15617" width="11" style="125" bestFit="1" customWidth="1"/>
    <col min="15618" max="15618" width="40.44140625" style="125" customWidth="1"/>
    <col min="15619" max="15619" width="11.6640625" style="125" customWidth="1"/>
    <col min="15620" max="15620" width="3.109375" style="125" bestFit="1" customWidth="1"/>
    <col min="15621" max="15621" width="11" style="125" bestFit="1" customWidth="1"/>
    <col min="15622" max="15622" width="34.44140625" style="125" customWidth="1"/>
    <col min="15623" max="15872" width="9.109375" style="125"/>
    <col min="15873" max="15873" width="11" style="125" bestFit="1" customWidth="1"/>
    <col min="15874" max="15874" width="40.44140625" style="125" customWidth="1"/>
    <col min="15875" max="15875" width="11.6640625" style="125" customWidth="1"/>
    <col min="15876" max="15876" width="3.109375" style="125" bestFit="1" customWidth="1"/>
    <col min="15877" max="15877" width="11" style="125" bestFit="1" customWidth="1"/>
    <col min="15878" max="15878" width="34.44140625" style="125" customWidth="1"/>
    <col min="15879" max="16128" width="9.109375" style="125"/>
    <col min="16129" max="16129" width="11" style="125" bestFit="1" customWidth="1"/>
    <col min="16130" max="16130" width="40.44140625" style="125" customWidth="1"/>
    <col min="16131" max="16131" width="11.6640625" style="125" customWidth="1"/>
    <col min="16132" max="16132" width="3.109375" style="125" bestFit="1" customWidth="1"/>
    <col min="16133" max="16133" width="11" style="125" bestFit="1" customWidth="1"/>
    <col min="16134" max="16134" width="34.44140625" style="125" customWidth="1"/>
    <col min="16135" max="16384" width="9.109375" style="125"/>
  </cols>
  <sheetData>
    <row r="1" spans="1:8" s="118" customFormat="1" ht="20.25" customHeight="1" x14ac:dyDescent="0.3">
      <c r="A1" s="345" t="s">
        <v>121</v>
      </c>
      <c r="B1" s="345"/>
      <c r="C1" s="345"/>
      <c r="D1" s="345"/>
      <c r="E1" s="117"/>
      <c r="F1" s="117"/>
      <c r="H1" s="119"/>
    </row>
    <row r="2" spans="1:8" s="121" customFormat="1" x14ac:dyDescent="0.25">
      <c r="A2" s="182"/>
      <c r="B2" s="182"/>
      <c r="C2" s="182"/>
      <c r="D2" s="182"/>
      <c r="E2" s="120"/>
      <c r="F2" s="120"/>
      <c r="H2" s="122"/>
    </row>
    <row r="3" spans="1:8" s="123" customFormat="1" x14ac:dyDescent="0.25">
      <c r="A3" s="149" t="s">
        <v>122</v>
      </c>
      <c r="B3" s="346" t="s">
        <v>123</v>
      </c>
      <c r="C3" s="346"/>
      <c r="D3" s="346"/>
      <c r="E3" s="120"/>
    </row>
    <row r="4" spans="1:8" s="123" customFormat="1" x14ac:dyDescent="0.25">
      <c r="A4" s="149" t="s">
        <v>124</v>
      </c>
      <c r="B4" s="346" t="s">
        <v>139</v>
      </c>
      <c r="C4" s="346"/>
      <c r="D4" s="346"/>
      <c r="E4" s="120"/>
    </row>
    <row r="5" spans="1:8" s="123" customFormat="1" x14ac:dyDescent="0.25">
      <c r="A5" s="149" t="s">
        <v>125</v>
      </c>
      <c r="B5" s="183"/>
      <c r="C5" s="184"/>
      <c r="D5" s="185"/>
      <c r="E5" s="120"/>
    </row>
    <row r="6" spans="1:8" s="123" customFormat="1" x14ac:dyDescent="0.25">
      <c r="A6" s="186"/>
      <c r="B6" s="187"/>
      <c r="C6" s="184"/>
      <c r="D6" s="185"/>
      <c r="E6" s="120"/>
    </row>
    <row r="7" spans="1:8" s="124" customFormat="1" x14ac:dyDescent="0.25">
      <c r="A7" s="186"/>
      <c r="B7" s="187"/>
      <c r="C7" s="188"/>
      <c r="D7" s="189"/>
      <c r="E7" s="120"/>
    </row>
    <row r="8" spans="1:8" x14ac:dyDescent="0.25">
      <c r="A8" s="340" t="s">
        <v>126</v>
      </c>
      <c r="B8" s="340"/>
      <c r="C8" s="340"/>
      <c r="D8" s="340"/>
    </row>
    <row r="9" spans="1:8" s="126" customFormat="1" ht="10.8" x14ac:dyDescent="0.25">
      <c r="A9" s="190"/>
      <c r="B9" s="191"/>
      <c r="C9" s="192"/>
      <c r="D9" s="193"/>
    </row>
    <row r="10" spans="1:8" x14ac:dyDescent="0.25">
      <c r="B10" s="194" t="s">
        <v>127</v>
      </c>
      <c r="C10" s="192"/>
      <c r="D10" s="193"/>
    </row>
    <row r="11" spans="1:8" x14ac:dyDescent="0.25">
      <c r="B11" s="195"/>
      <c r="C11" s="192"/>
      <c r="D11" s="193"/>
    </row>
    <row r="12" spans="1:8" x14ac:dyDescent="0.25">
      <c r="A12" s="340" t="s">
        <v>128</v>
      </c>
      <c r="B12" s="340"/>
      <c r="C12" s="340"/>
      <c r="D12" s="340"/>
    </row>
    <row r="13" spans="1:8" s="126" customFormat="1" ht="10.8" x14ac:dyDescent="0.25">
      <c r="A13" s="190"/>
      <c r="B13" s="195"/>
      <c r="C13" s="192"/>
      <c r="D13" s="193"/>
    </row>
    <row r="14" spans="1:8" x14ac:dyDescent="0.25">
      <c r="B14" s="194" t="s">
        <v>129</v>
      </c>
      <c r="C14" s="192"/>
      <c r="D14" s="193"/>
    </row>
    <row r="15" spans="1:8" x14ac:dyDescent="0.25">
      <c r="B15" s="196"/>
      <c r="D15" s="197"/>
      <c r="E15" s="127"/>
      <c r="F15" s="127"/>
    </row>
    <row r="16" spans="1:8" x14ac:dyDescent="0.25">
      <c r="A16" s="340" t="s">
        <v>130</v>
      </c>
      <c r="B16" s="340"/>
      <c r="C16" s="340"/>
      <c r="D16" s="340"/>
    </row>
    <row r="17" spans="1:6" s="126" customFormat="1" ht="10.8" x14ac:dyDescent="0.25">
      <c r="A17" s="190"/>
      <c r="B17" s="195"/>
      <c r="C17" s="192"/>
      <c r="D17" s="198"/>
    </row>
    <row r="18" spans="1:6" x14ac:dyDescent="0.25">
      <c r="A18" s="199"/>
      <c r="B18" s="200" t="s">
        <v>193</v>
      </c>
      <c r="C18" s="201">
        <v>4</v>
      </c>
      <c r="D18" s="202" t="s">
        <v>24</v>
      </c>
      <c r="F18" s="128"/>
    </row>
    <row r="19" spans="1:6" x14ac:dyDescent="0.25">
      <c r="A19" s="199"/>
      <c r="B19" s="200" t="s">
        <v>194</v>
      </c>
      <c r="C19" s="201">
        <v>0.7</v>
      </c>
      <c r="D19" s="202" t="s">
        <v>24</v>
      </c>
      <c r="F19" s="128"/>
    </row>
    <row r="20" spans="1:6" x14ac:dyDescent="0.25">
      <c r="A20" s="199"/>
      <c r="B20" s="200" t="s">
        <v>195</v>
      </c>
      <c r="C20" s="201">
        <v>0.42</v>
      </c>
      <c r="D20" s="202" t="s">
        <v>24</v>
      </c>
      <c r="F20" s="128"/>
    </row>
    <row r="21" spans="1:6" x14ac:dyDescent="0.25">
      <c r="A21" s="199"/>
      <c r="B21" s="200" t="s">
        <v>196</v>
      </c>
      <c r="C21" s="201">
        <v>0.63</v>
      </c>
      <c r="D21" s="202" t="s">
        <v>24</v>
      </c>
      <c r="F21" s="128"/>
    </row>
    <row r="22" spans="1:6" x14ac:dyDescent="0.25">
      <c r="A22" s="203"/>
      <c r="B22" s="204"/>
      <c r="C22" s="205"/>
      <c r="D22" s="206"/>
      <c r="E22" s="129"/>
      <c r="F22" s="128"/>
    </row>
    <row r="23" spans="1:6" x14ac:dyDescent="0.25">
      <c r="A23" s="199"/>
      <c r="B23" s="200" t="s">
        <v>197</v>
      </c>
      <c r="C23" s="201">
        <v>5.5</v>
      </c>
      <c r="D23" s="202" t="s">
        <v>24</v>
      </c>
      <c r="F23" s="128"/>
    </row>
    <row r="24" spans="1:6" ht="12.75" customHeight="1" x14ac:dyDescent="0.25">
      <c r="C24" s="207"/>
      <c r="D24" s="208"/>
    </row>
    <row r="25" spans="1:6" ht="12.75" customHeight="1" x14ac:dyDescent="0.25">
      <c r="A25" s="340" t="s">
        <v>131</v>
      </c>
      <c r="B25" s="340"/>
      <c r="C25" s="340"/>
      <c r="D25" s="340"/>
    </row>
    <row r="26" spans="1:6" s="126" customFormat="1" ht="10.8" x14ac:dyDescent="0.25">
      <c r="A26" s="190"/>
      <c r="B26" s="195"/>
      <c r="C26" s="209"/>
      <c r="D26" s="210"/>
    </row>
    <row r="27" spans="1:6" x14ac:dyDescent="0.25">
      <c r="A27" s="199"/>
      <c r="B27" s="211" t="s">
        <v>132</v>
      </c>
      <c r="C27" s="212">
        <f>C28+C29+C30+C31</f>
        <v>13.15</v>
      </c>
      <c r="D27" s="213" t="s">
        <v>24</v>
      </c>
      <c r="F27" s="128"/>
    </row>
    <row r="28" spans="1:6" x14ac:dyDescent="0.25">
      <c r="B28" s="214" t="s">
        <v>133</v>
      </c>
      <c r="C28" s="201">
        <v>5</v>
      </c>
      <c r="D28" s="202" t="s">
        <v>24</v>
      </c>
      <c r="F28" s="128"/>
    </row>
    <row r="29" spans="1:6" x14ac:dyDescent="0.25">
      <c r="B29" s="214" t="s">
        <v>134</v>
      </c>
      <c r="C29" s="215">
        <v>3</v>
      </c>
      <c r="D29" s="216" t="s">
        <v>24</v>
      </c>
      <c r="F29" s="128"/>
    </row>
    <row r="30" spans="1:6" ht="12.75" customHeight="1" x14ac:dyDescent="0.25">
      <c r="B30" s="214" t="s">
        <v>135</v>
      </c>
      <c r="C30" s="215">
        <v>0.65</v>
      </c>
      <c r="D30" s="216" t="s">
        <v>24</v>
      </c>
    </row>
    <row r="31" spans="1:6" ht="12.75" customHeight="1" x14ac:dyDescent="0.25">
      <c r="B31" s="214" t="s">
        <v>136</v>
      </c>
      <c r="C31" s="215">
        <f>IF(B10="Com Desoneração",4.5,0)</f>
        <v>4.5</v>
      </c>
      <c r="D31" s="202" t="s">
        <v>24</v>
      </c>
    </row>
    <row r="32" spans="1:6" ht="12.75" customHeight="1" x14ac:dyDescent="0.25">
      <c r="D32" s="197"/>
    </row>
    <row r="33" spans="1:6" x14ac:dyDescent="0.25">
      <c r="A33" s="340" t="s">
        <v>137</v>
      </c>
      <c r="B33" s="340"/>
      <c r="C33" s="340"/>
      <c r="D33" s="340"/>
    </row>
    <row r="34" spans="1:6" s="126" customFormat="1" ht="10.8" x14ac:dyDescent="0.25">
      <c r="A34" s="190"/>
      <c r="B34" s="195"/>
      <c r="C34" s="192"/>
      <c r="D34" s="193"/>
    </row>
    <row r="35" spans="1:6" ht="12.75" customHeight="1" x14ac:dyDescent="0.25">
      <c r="B35" s="207" t="s">
        <v>198</v>
      </c>
      <c r="C35" s="341">
        <f>ROUND((((1+($C$18/100)+($C$20/100)+($C$19/100))*(1+($C$21/100))*(1+($C$23/100)))/(1-$C$27/100)-1),4)</f>
        <v>0.28499999999999998</v>
      </c>
      <c r="D35" s="342"/>
      <c r="F35" s="130" t="str">
        <f>[2]Auxiliar!A17</f>
        <v>Atende</v>
      </c>
    </row>
    <row r="36" spans="1:6" ht="12.75" customHeight="1" x14ac:dyDescent="0.3">
      <c r="B36" s="196" t="s">
        <v>138</v>
      </c>
      <c r="C36" s="343"/>
      <c r="D36" s="344"/>
      <c r="F36" s="131"/>
    </row>
    <row r="37" spans="1:6" x14ac:dyDescent="0.25">
      <c r="C37" s="217"/>
    </row>
    <row r="38" spans="1:6" ht="45.75" customHeight="1" x14ac:dyDescent="0.25">
      <c r="A38" s="219"/>
      <c r="B38" s="219"/>
      <c r="C38" s="220"/>
      <c r="D38" s="220"/>
    </row>
    <row r="39" spans="1:6" x14ac:dyDescent="0.25">
      <c r="B39" s="221" t="s">
        <v>182</v>
      </c>
      <c r="C39" s="220"/>
      <c r="D39" s="220"/>
    </row>
    <row r="40" spans="1:6" ht="12.75" customHeight="1" x14ac:dyDescent="0.25">
      <c r="B40" s="222" t="s">
        <v>183</v>
      </c>
      <c r="C40" s="220"/>
      <c r="D40" s="220"/>
    </row>
  </sheetData>
  <sheetProtection selectLockedCells="1" autoFilter="0"/>
  <protectedRanges>
    <protectedRange sqref="C18:C21" name="Intervalo1"/>
    <protectedRange sqref="C22:C23 C28:C31" name="Intervalo2"/>
  </protectedRanges>
  <mergeCells count="9">
    <mergeCell ref="A25:D25"/>
    <mergeCell ref="A33:D33"/>
    <mergeCell ref="C35:D36"/>
    <mergeCell ref="A1:D1"/>
    <mergeCell ref="B3:D3"/>
    <mergeCell ref="B4:D4"/>
    <mergeCell ref="A8:D8"/>
    <mergeCell ref="A12:D12"/>
    <mergeCell ref="A16:D16"/>
  </mergeCells>
  <conditionalFormatting sqref="F35">
    <cfRule type="cellIs" dxfId="0" priority="1" stopIfTrue="1" operator="equal">
      <formula>"Atende"</formula>
    </cfRule>
  </conditionalFormatting>
  <dataValidations count="2">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xr:uid="{1A07538E-5DFF-4553-B7CB-BE0E87C08733}">
      <formula1>"Com Desoneração, Sem Desoneração"</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DD837A3D-B92C-4E52-815B-6F1CA9AE21D2}">
      <mc:AlternateContent xmlns:x12ac="http://schemas.microsoft.com/office/spreadsheetml/2011/1/ac" xmlns:mc="http://schemas.openxmlformats.org/markup-compatibility/2006">
        <mc:Choice Requires="x12ac">
          <x12ac:list>Edificações, Fornecimento de Materiais e Equipamentos," Redes de Água, Esgoto ou Correlatas", Rodovias e Ferrovias," Portuárias, Marítimas e Fluviais",</x12ac:list>
        </mc:Choice>
        <mc:Fallback>
          <formula1>"Edificações, Fornecimento de Materiais e Equipamentos, Redes de Água, Esgoto ou Correlatas, Rodovias e Ferrovias, Portuárias, Marítimas e Fluviais,"</formula1>
        </mc:Fallback>
      </mc:AlternateContent>
    </dataValidation>
  </dataValidations>
  <pageMargins left="0.98425196850393704" right="0.78740157480314965" top="1.5748031496062993" bottom="0.39370078740157483" header="0.51181102362204722" footer="0.51181102362204722"/>
  <pageSetup paperSize="9" orientation="portrait" r:id="rId1"/>
  <headerFooter scaleWithDoc="0">
    <oddHeader>&amp;C&amp;G</oddHeader>
    <oddFooter>&amp;C&amp;"Trebuchet MS,Itálico"&amp;9Rua Pedro Caetano Domingues, nº 33, Quincas Machado, Guaçuí – ES / CNPJ: 21.861.470/0001-10 
       contato.vmengenharia@gmail.com / (28) 9 9963 2562 / (28) 9 9966 6524&amp;R&amp;"Trebuchet MS,Itálico"&amp;9&amp;P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Resumo</vt:lpstr>
      <vt:lpstr>Planilha Orçamentária</vt:lpstr>
      <vt:lpstr>Memória de cálculo</vt:lpstr>
      <vt:lpstr>Cronograma</vt:lpstr>
      <vt:lpstr>COMPOSIÇÕES (2)</vt:lpstr>
      <vt:lpstr>Detalhamento do BDI</vt:lpstr>
      <vt:lpstr>'COMPOSIÇÕES (2)'!Area_de_impressao</vt:lpstr>
      <vt:lpstr>Cronograma!Area_de_impressao</vt:lpstr>
      <vt:lpstr>'Detalhamento do BDI'!Area_de_impressao</vt:lpstr>
      <vt:lpstr>'Memória de cálculo'!Area_de_impressao</vt:lpstr>
      <vt:lpstr>'Planilha Orçamentária'!Area_de_impressao</vt:lpstr>
      <vt:lpstr>Resumo!Area_de_impressao</vt:lpstr>
      <vt:lpstr>'Memória de cálculo'!Titulos_de_impressao</vt:lpstr>
      <vt:lpstr>'Planilha Orçamentária'!Titulos_de_impressao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fhrasko</dc:creator>
  <cp:lastModifiedBy>Matheus Sofiste Teixeira</cp:lastModifiedBy>
  <cp:lastPrinted>2019-07-17T13:37:34Z</cp:lastPrinted>
  <dcterms:created xsi:type="dcterms:W3CDTF">2013-05-06T17:13:09Z</dcterms:created>
  <dcterms:modified xsi:type="dcterms:W3CDTF">2019-07-17T17:42:56Z</dcterms:modified>
</cp:coreProperties>
</file>