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arina Diniz\Desktop\Arquivos Prefeitura\Reforma - Antigo Grupo\"/>
    </mc:Choice>
  </mc:AlternateContent>
  <bookViews>
    <workbookView xWindow="0" yWindow="0" windowWidth="20490" windowHeight="7650" tabRatio="599"/>
  </bookViews>
  <sheets>
    <sheet name="CAPA" sheetId="4" r:id="rId1"/>
    <sheet name="PLANILHA ORÇAMENTÁRIA" sheetId="1" r:id="rId2"/>
    <sheet name="MEMÓRIA DE CÁLCULO" sheetId="2" r:id="rId3"/>
    <sheet name="CRONOGRAMA FÍSICO-FINANCEIRO" sheetId="3" r:id="rId4"/>
    <sheet name="COMPOSIÇÃO ANALÍTICA DOS PREÇOS" sheetId="6" r:id="rId5"/>
  </sheets>
  <definedNames>
    <definedName name="_xlnm.Print_Area" localSheetId="0">CAPA!$A$1:$D$39</definedName>
    <definedName name="_xlnm.Print_Area" localSheetId="4">'COMPOSIÇÃO ANALÍTICA DOS PREÇOS'!$A$1:$J$318</definedName>
    <definedName name="_xlnm.Print_Area" localSheetId="3">'CRONOGRAMA FÍSICO-FINANCEIRO'!$A$1:$I$25</definedName>
    <definedName name="_xlnm.Print_Area" localSheetId="2">'MEMÓRIA DE CÁLCULO'!$A$1:$L$593</definedName>
    <definedName name="_xlnm.Print_Area" localSheetId="1">'PLANILHA ORÇAMENTÁRIA'!$A$1:$H$128</definedName>
  </definedNames>
  <calcPr calcId="162913"/>
</workbook>
</file>

<file path=xl/calcChain.xml><?xml version="1.0" encoding="utf-8"?>
<calcChain xmlns="http://schemas.openxmlformats.org/spreadsheetml/2006/main">
  <c r="H62" i="1" l="1"/>
  <c r="H56" i="1"/>
  <c r="H54" i="1"/>
  <c r="H51" i="1"/>
  <c r="H41" i="1"/>
  <c r="E252" i="2" l="1"/>
  <c r="E249" i="2" s="1"/>
  <c r="E253" i="2"/>
  <c r="H576" i="2"/>
  <c r="J309" i="6"/>
  <c r="J308" i="6"/>
  <c r="J307" i="6"/>
  <c r="J302" i="6"/>
  <c r="J301" i="6"/>
  <c r="J285" i="6"/>
  <c r="J286" i="6" s="1"/>
  <c r="J280" i="6"/>
  <c r="J279" i="6"/>
  <c r="J281" i="6" s="1"/>
  <c r="I288" i="6" s="1"/>
  <c r="I290" i="6" s="1"/>
  <c r="I292" i="6" s="1"/>
  <c r="J263" i="6"/>
  <c r="J262" i="6"/>
  <c r="J257" i="6"/>
  <c r="J256" i="6"/>
  <c r="J240" i="6"/>
  <c r="J239" i="6"/>
  <c r="J238" i="6"/>
  <c r="J237" i="6"/>
  <c r="J236" i="6"/>
  <c r="J231" i="6"/>
  <c r="J230" i="6"/>
  <c r="J214" i="6"/>
  <c r="J213" i="6"/>
  <c r="J212" i="6"/>
  <c r="J211" i="6"/>
  <c r="J210" i="6"/>
  <c r="J205" i="6"/>
  <c r="J204" i="6"/>
  <c r="J188" i="6"/>
  <c r="J189" i="6" s="1"/>
  <c r="J183" i="6"/>
  <c r="J184" i="6" s="1"/>
  <c r="J182" i="6"/>
  <c r="J166" i="6"/>
  <c r="J165" i="6"/>
  <c r="J149" i="6"/>
  <c r="J150" i="6" s="1"/>
  <c r="I152" i="6" s="1"/>
  <c r="I154" i="6" s="1"/>
  <c r="I156" i="6" s="1"/>
  <c r="J148" i="6"/>
  <c r="J132" i="6"/>
  <c r="J131" i="6"/>
  <c r="J130" i="6"/>
  <c r="J129" i="6"/>
  <c r="J124" i="6"/>
  <c r="J123" i="6"/>
  <c r="J107" i="6"/>
  <c r="J106" i="6"/>
  <c r="J90" i="6"/>
  <c r="J91" i="6" s="1"/>
  <c r="J85" i="6"/>
  <c r="J86" i="6" s="1"/>
  <c r="J69" i="6"/>
  <c r="J70" i="6" s="1"/>
  <c r="J64" i="6"/>
  <c r="J65" i="6" s="1"/>
  <c r="J48" i="6"/>
  <c r="J47" i="6"/>
  <c r="J46" i="6"/>
  <c r="J45" i="6"/>
  <c r="J44" i="6"/>
  <c r="J43" i="6"/>
  <c r="J42" i="6"/>
  <c r="J41" i="6"/>
  <c r="J40" i="6"/>
  <c r="J35" i="6"/>
  <c r="J34" i="6"/>
  <c r="J36" i="6" s="1"/>
  <c r="J18" i="6"/>
  <c r="J17" i="6"/>
  <c r="J12" i="6"/>
  <c r="J11" i="6"/>
  <c r="J13" i="6" s="1"/>
  <c r="J19" i="6" l="1"/>
  <c r="J49" i="6"/>
  <c r="I51" i="6" s="1"/>
  <c r="I53" i="6" s="1"/>
  <c r="I55" i="6" s="1"/>
  <c r="I56" i="6" s="1"/>
  <c r="I57" i="6" s="1"/>
  <c r="J167" i="6"/>
  <c r="I169" i="6" s="1"/>
  <c r="I171" i="6" s="1"/>
  <c r="I173" i="6" s="1"/>
  <c r="J310" i="6"/>
  <c r="I312" i="6" s="1"/>
  <c r="I314" i="6" s="1"/>
  <c r="I316" i="6" s="1"/>
  <c r="J241" i="6"/>
  <c r="J264" i="6"/>
  <c r="I21" i="6"/>
  <c r="I23" i="6" s="1"/>
  <c r="I25" i="6" s="1"/>
  <c r="I26" i="6" s="1"/>
  <c r="I27" i="6" s="1"/>
  <c r="I191" i="6"/>
  <c r="I193" i="6" s="1"/>
  <c r="I195" i="6" s="1"/>
  <c r="I196" i="6" s="1"/>
  <c r="I197" i="6" s="1"/>
  <c r="J303" i="6"/>
  <c r="J125" i="6"/>
  <c r="J232" i="6"/>
  <c r="I243" i="6" s="1"/>
  <c r="I245" i="6" s="1"/>
  <c r="I247" i="6" s="1"/>
  <c r="J215" i="6"/>
  <c r="J258" i="6"/>
  <c r="I93" i="6"/>
  <c r="I95" i="6" s="1"/>
  <c r="I97" i="6" s="1"/>
  <c r="I98" i="6" s="1"/>
  <c r="I99" i="6" s="1"/>
  <c r="I72" i="6"/>
  <c r="I74" i="6" s="1"/>
  <c r="I76" i="6" s="1"/>
  <c r="I77" i="6" s="1"/>
  <c r="I78" i="6" s="1"/>
  <c r="J108" i="6"/>
  <c r="I110" i="6" s="1"/>
  <c r="I112" i="6" s="1"/>
  <c r="I114" i="6" s="1"/>
  <c r="I115" i="6" s="1"/>
  <c r="I116" i="6" s="1"/>
  <c r="J133" i="6"/>
  <c r="J206" i="6"/>
  <c r="I293" i="6"/>
  <c r="I294" i="6" s="1"/>
  <c r="I157" i="6"/>
  <c r="I158" i="6" s="1"/>
  <c r="I174" i="6"/>
  <c r="H505" i="2"/>
  <c r="H504" i="2" s="1"/>
  <c r="L504" i="2" s="1"/>
  <c r="F117" i="1" s="1"/>
  <c r="H117" i="1" s="1"/>
  <c r="B504" i="2"/>
  <c r="H510" i="2"/>
  <c r="H509" i="2"/>
  <c r="H508" i="2"/>
  <c r="H507" i="2"/>
  <c r="I57" i="2"/>
  <c r="I175" i="6" l="1"/>
  <c r="I217" i="6"/>
  <c r="I219" i="6" s="1"/>
  <c r="I221" i="6" s="1"/>
  <c r="I222" i="6" s="1"/>
  <c r="I135" i="6"/>
  <c r="I137" i="6" s="1"/>
  <c r="I139" i="6" s="1"/>
  <c r="I266" i="6"/>
  <c r="I268" i="6" s="1"/>
  <c r="I270" i="6" s="1"/>
  <c r="I271" i="6" s="1"/>
  <c r="I272" i="6" s="1"/>
  <c r="I248" i="6"/>
  <c r="I249" i="6" s="1"/>
  <c r="I317" i="6"/>
  <c r="I318" i="6" s="1"/>
  <c r="I140" i="6"/>
  <c r="I141" i="6" s="1"/>
  <c r="B11" i="3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H204" i="2"/>
  <c r="H203" i="2"/>
  <c r="H97" i="2"/>
  <c r="H96" i="2"/>
  <c r="H94" i="2"/>
  <c r="H93" i="2"/>
  <c r="H92" i="2"/>
  <c r="H91" i="2"/>
  <c r="H95" i="2"/>
  <c r="F55" i="1"/>
  <c r="H55" i="1" s="1"/>
  <c r="D15" i="4" s="1"/>
  <c r="B123" i="2"/>
  <c r="B73" i="2"/>
  <c r="I223" i="6" l="1"/>
  <c r="H90" i="2"/>
  <c r="L90" i="2" s="1"/>
  <c r="F23" i="1" s="1"/>
  <c r="H23" i="1" s="1"/>
  <c r="C11" i="3"/>
  <c r="H11" i="3" s="1"/>
  <c r="H98" i="2"/>
  <c r="B90" i="2"/>
  <c r="H585" i="2" l="1"/>
  <c r="H575" i="2"/>
  <c r="H574" i="2"/>
  <c r="H573" i="2"/>
  <c r="H572" i="2"/>
  <c r="B210" i="2" l="1"/>
  <c r="H570" i="2" l="1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 l="1"/>
  <c r="H553" i="2"/>
  <c r="H552" i="2"/>
  <c r="H551" i="2"/>
  <c r="H550" i="2"/>
  <c r="H549" i="2"/>
  <c r="H548" i="2"/>
  <c r="H547" i="2"/>
  <c r="B571" i="2"/>
  <c r="B584" i="2"/>
  <c r="B585" i="2"/>
  <c r="B592" i="2"/>
  <c r="B593" i="2"/>
  <c r="H546" i="2"/>
  <c r="H545" i="2" l="1"/>
  <c r="H544" i="2"/>
  <c r="H543" i="2"/>
  <c r="H542" i="2"/>
  <c r="H541" i="2"/>
  <c r="H540" i="2"/>
  <c r="H539" i="2"/>
  <c r="H538" i="2"/>
  <c r="H537" i="2"/>
  <c r="H535" i="2"/>
  <c r="H534" i="2"/>
  <c r="H533" i="2"/>
  <c r="H517" i="2"/>
  <c r="H514" i="2"/>
  <c r="H513" i="2"/>
  <c r="H512" i="2"/>
  <c r="H511" i="2"/>
  <c r="D237" i="2" l="1"/>
  <c r="H220" i="2"/>
  <c r="H219" i="2"/>
  <c r="H217" i="2"/>
  <c r="H216" i="2"/>
  <c r="H215" i="2"/>
  <c r="H214" i="2"/>
  <c r="H212" i="2"/>
  <c r="H211" i="2"/>
  <c r="H201" i="2"/>
  <c r="H200" i="2"/>
  <c r="H199" i="2"/>
  <c r="H197" i="2"/>
  <c r="H196" i="2"/>
  <c r="H195" i="2"/>
  <c r="H194" i="2"/>
  <c r="H108" i="2"/>
  <c r="H107" i="2"/>
  <c r="E167" i="2"/>
  <c r="I88" i="2"/>
  <c r="B193" i="2"/>
  <c r="H198" i="2" l="1"/>
  <c r="H210" i="2"/>
  <c r="L210" i="2" s="1"/>
  <c r="H193" i="2"/>
  <c r="L193" i="2" s="1"/>
  <c r="F57" i="1" s="1"/>
  <c r="H57" i="1" s="1"/>
  <c r="L167" i="2"/>
  <c r="F49" i="1" s="1"/>
  <c r="H49" i="1" s="1"/>
  <c r="B167" i="2"/>
  <c r="H122" i="2" l="1"/>
  <c r="H121" i="2"/>
  <c r="H120" i="2"/>
  <c r="H119" i="2"/>
  <c r="H118" i="2"/>
  <c r="H117" i="2"/>
  <c r="H116" i="2"/>
  <c r="H571" i="2" l="1"/>
  <c r="H532" i="2"/>
  <c r="H516" i="2"/>
  <c r="H506" i="2"/>
  <c r="E500" i="2"/>
  <c r="L500" i="2" s="1"/>
  <c r="D498" i="2"/>
  <c r="L498" i="2" s="1"/>
  <c r="H496" i="2"/>
  <c r="D370" i="2"/>
  <c r="L370" i="2" s="1"/>
  <c r="D367" i="2"/>
  <c r="L367" i="2" s="1"/>
  <c r="H361" i="2"/>
  <c r="L361" i="2" s="1"/>
  <c r="D357" i="2"/>
  <c r="L357" i="2" s="1"/>
  <c r="F96" i="1" s="1"/>
  <c r="H96" i="1" s="1"/>
  <c r="D354" i="2"/>
  <c r="L354" i="2" s="1"/>
  <c r="D351" i="2"/>
  <c r="L351" i="2" s="1"/>
  <c r="D348" i="2"/>
  <c r="L348" i="2" s="1"/>
  <c r="D343" i="2"/>
  <c r="L343" i="2" s="1"/>
  <c r="D341" i="2"/>
  <c r="L341" i="2" s="1"/>
  <c r="D338" i="2"/>
  <c r="L338" i="2" s="1"/>
  <c r="D318" i="2"/>
  <c r="D296" i="2"/>
  <c r="D279" i="2"/>
  <c r="D258" i="2"/>
  <c r="D245" i="2"/>
  <c r="L245" i="2" s="1"/>
  <c r="D242" i="2"/>
  <c r="L242" i="2" s="1"/>
  <c r="D239" i="2"/>
  <c r="L239" i="2" s="1"/>
  <c r="L237" i="2"/>
  <c r="D235" i="2"/>
  <c r="L235" i="2" s="1"/>
  <c r="D233" i="2"/>
  <c r="L233" i="2" s="1"/>
  <c r="H227" i="2"/>
  <c r="H223" i="2"/>
  <c r="H218" i="2"/>
  <c r="H213" i="2"/>
  <c r="F59" i="1"/>
  <c r="L198" i="2"/>
  <c r="H180" i="2"/>
  <c r="E177" i="2"/>
  <c r="D173" i="2"/>
  <c r="L173" i="2" s="1"/>
  <c r="H169" i="2"/>
  <c r="E165" i="2"/>
  <c r="E163" i="2"/>
  <c r="H160" i="2"/>
  <c r="H155" i="2"/>
  <c r="L155" i="2" s="1"/>
  <c r="H152" i="2"/>
  <c r="H149" i="2"/>
  <c r="L149" i="2" s="1"/>
  <c r="D136" i="2"/>
  <c r="E132" i="2"/>
  <c r="E127" i="2"/>
  <c r="H115" i="2"/>
  <c r="D113" i="2"/>
  <c r="H110" i="2"/>
  <c r="H106" i="2"/>
  <c r="H85" i="2"/>
  <c r="H73" i="2"/>
  <c r="I54" i="2"/>
  <c r="H46" i="2"/>
  <c r="H41" i="2"/>
  <c r="D38" i="2"/>
  <c r="D26" i="2"/>
  <c r="H22" i="2"/>
  <c r="H16" i="2"/>
  <c r="D12" i="2"/>
  <c r="D8" i="2"/>
  <c r="D477" i="2"/>
  <c r="D458" i="2"/>
  <c r="D433" i="2"/>
  <c r="L433" i="2" s="1"/>
  <c r="D424" i="2"/>
  <c r="L424" i="2" s="1"/>
  <c r="D398" i="2"/>
  <c r="D374" i="2"/>
  <c r="L346" i="2"/>
  <c r="B357" i="2"/>
  <c r="B433" i="2"/>
  <c r="H64" i="2" l="1"/>
  <c r="L177" i="2"/>
  <c r="H59" i="1"/>
  <c r="L227" i="2" l="1"/>
  <c r="L223" i="2"/>
  <c r="L213" i="2"/>
  <c r="L113" i="2" l="1"/>
  <c r="F30" i="1" s="1"/>
  <c r="B113" i="2"/>
  <c r="L317" i="2"/>
  <c r="F85" i="1" s="1"/>
  <c r="B317" i="2"/>
  <c r="L318" i="2"/>
  <c r="F86" i="1" s="1"/>
  <c r="B318" i="2"/>
  <c r="H86" i="1" l="1"/>
  <c r="H85" i="1"/>
  <c r="H30" i="1"/>
  <c r="L218" i="2"/>
  <c r="F106" i="1" l="1"/>
  <c r="H106" i="1" s="1"/>
  <c r="B424" i="2"/>
  <c r="B432" i="2"/>
  <c r="L506" i="2" l="1"/>
  <c r="L136" i="2" l="1"/>
  <c r="B125" i="2"/>
  <c r="B20" i="3" l="1"/>
  <c r="B19" i="3"/>
  <c r="B18" i="3"/>
  <c r="B17" i="3"/>
  <c r="B16" i="3"/>
  <c r="B15" i="3"/>
  <c r="B14" i="3"/>
  <c r="B13" i="3"/>
  <c r="B12" i="3"/>
  <c r="B10" i="3"/>
  <c r="B9" i="3"/>
  <c r="B8" i="3"/>
  <c r="B7" i="3"/>
  <c r="B6" i="3"/>
  <c r="B5" i="3"/>
  <c r="A1" i="2" l="1"/>
  <c r="G46" i="1"/>
  <c r="G44" i="1"/>
  <c r="G43" i="1"/>
  <c r="G42" i="1"/>
  <c r="L127" i="2"/>
  <c r="F36" i="1" s="1"/>
  <c r="L124" i="2"/>
  <c r="F33" i="1" s="1"/>
  <c r="L571" i="2"/>
  <c r="F122" i="1" s="1"/>
  <c r="L132" i="2" l="1"/>
  <c r="F38" i="1" s="1"/>
  <c r="F39" i="1"/>
  <c r="L147" i="2"/>
  <c r="F40" i="1" s="1"/>
  <c r="B132" i="2"/>
  <c r="B136" i="2"/>
  <c r="B147" i="2"/>
  <c r="B131" i="2"/>
  <c r="L115" i="2"/>
  <c r="F31" i="1" s="1"/>
  <c r="L106" i="2"/>
  <c r="F27" i="1" s="1"/>
  <c r="H27" i="1" s="1"/>
  <c r="H26" i="1" s="1"/>
  <c r="L98" i="2"/>
  <c r="F24" i="1" s="1"/>
  <c r="H24" i="1" s="1"/>
  <c r="L477" i="2"/>
  <c r="F110" i="1" s="1"/>
  <c r="B477" i="2"/>
  <c r="L458" i="2"/>
  <c r="F109" i="1" s="1"/>
  <c r="B458" i="2"/>
  <c r="F108" i="1"/>
  <c r="L398" i="2"/>
  <c r="F105" i="1" s="1"/>
  <c r="B398" i="2"/>
  <c r="L374" i="2"/>
  <c r="F104" i="1" s="1"/>
  <c r="L316" i="2"/>
  <c r="F84" i="1" s="1"/>
  <c r="B316" i="2"/>
  <c r="L315" i="2"/>
  <c r="F83" i="1" s="1"/>
  <c r="B315" i="2"/>
  <c r="B314" i="2"/>
  <c r="L296" i="2"/>
  <c r="F81" i="1" s="1"/>
  <c r="L279" i="2"/>
  <c r="F80" i="1" s="1"/>
  <c r="B296" i="2"/>
  <c r="B279" i="2"/>
  <c r="L258" i="2"/>
  <c r="F79" i="1" s="1"/>
  <c r="B258" i="2"/>
  <c r="B257" i="2"/>
  <c r="B256" i="2"/>
  <c r="L253" i="2"/>
  <c r="F76" i="1" s="1"/>
  <c r="B253" i="2"/>
  <c r="L249" i="2"/>
  <c r="F75" i="1" s="1"/>
  <c r="B249" i="2"/>
  <c r="B248" i="2"/>
  <c r="F72" i="1"/>
  <c r="B242" i="2"/>
  <c r="F73" i="1"/>
  <c r="B245" i="2"/>
  <c r="F71" i="1"/>
  <c r="B239" i="2"/>
  <c r="F69" i="1"/>
  <c r="F68" i="1"/>
  <c r="F70" i="1"/>
  <c r="B237" i="2"/>
  <c r="B235" i="2"/>
  <c r="B233" i="2"/>
  <c r="F44" i="1"/>
  <c r="F43" i="1"/>
  <c r="F42" i="1"/>
  <c r="L593" i="2"/>
  <c r="F126" i="1" s="1"/>
  <c r="L585" i="2"/>
  <c r="F124" i="1" s="1"/>
  <c r="F114" i="1"/>
  <c r="L496" i="2"/>
  <c r="F112" i="1" s="1"/>
  <c r="F113" i="1"/>
  <c r="F101" i="1"/>
  <c r="F100" i="1"/>
  <c r="F98" i="1"/>
  <c r="F95" i="1"/>
  <c r="F94" i="1"/>
  <c r="F93" i="1"/>
  <c r="F92" i="1"/>
  <c r="F91" i="1"/>
  <c r="F90" i="1"/>
  <c r="F89" i="1"/>
  <c r="F65" i="1"/>
  <c r="F64" i="1"/>
  <c r="F61" i="1"/>
  <c r="F60" i="1"/>
  <c r="F58" i="1"/>
  <c r="F53" i="1"/>
  <c r="F52" i="1"/>
  <c r="F50" i="1"/>
  <c r="H50" i="1" s="1"/>
  <c r="L165" i="2"/>
  <c r="F48" i="1" s="1"/>
  <c r="L163" i="2"/>
  <c r="F47" i="1" s="1"/>
  <c r="H47" i="1" s="1"/>
  <c r="B165" i="2"/>
  <c r="B163" i="2"/>
  <c r="L160" i="2"/>
  <c r="F46" i="1" s="1"/>
  <c r="B160" i="2"/>
  <c r="F118" i="1" l="1"/>
  <c r="L532" i="2"/>
  <c r="F121" i="1" s="1"/>
  <c r="L516" i="2"/>
  <c r="F120" i="1" s="1"/>
  <c r="B532" i="2" l="1"/>
  <c r="B516" i="2"/>
  <c r="B515" i="2"/>
  <c r="H80" i="1" l="1"/>
  <c r="H108" i="1"/>
  <c r="H83" i="1"/>
  <c r="H126" i="1"/>
  <c r="H48" i="1"/>
  <c r="H38" i="1"/>
  <c r="H40" i="1"/>
  <c r="H84" i="1"/>
  <c r="H82" i="1" l="1"/>
  <c r="L110" i="2"/>
  <c r="F29" i="1" s="1"/>
  <c r="H39" i="1"/>
  <c r="H37" i="1" s="1"/>
  <c r="H113" i="1"/>
  <c r="H114" i="1"/>
  <c r="H112" i="1"/>
  <c r="H90" i="1"/>
  <c r="H125" i="1"/>
  <c r="H81" i="1"/>
  <c r="H79" i="1"/>
  <c r="C7" i="3" l="1"/>
  <c r="E7" i="3" s="1"/>
  <c r="D11" i="4"/>
  <c r="C20" i="3"/>
  <c r="I20" i="3" s="1"/>
  <c r="D24" i="4"/>
  <c r="H78" i="1"/>
  <c r="H111" i="1"/>
  <c r="L38" i="2"/>
  <c r="F15" i="1" s="1"/>
  <c r="H15" i="1" s="1"/>
  <c r="B38" i="2"/>
  <c r="L26" i="2"/>
  <c r="F14" i="1" s="1"/>
  <c r="H14" i="1" s="1"/>
  <c r="B26" i="2"/>
  <c r="C18" i="3" l="1"/>
  <c r="H18" i="3" s="1"/>
  <c r="D22" i="4"/>
  <c r="L64" i="2" l="1"/>
  <c r="F19" i="1" s="1"/>
  <c r="B148" i="2"/>
  <c r="B127" i="2"/>
  <c r="B126" i="2"/>
  <c r="B124" i="2"/>
  <c r="L22" i="2"/>
  <c r="F13" i="1" s="1"/>
  <c r="B110" i="2"/>
  <c r="B109" i="2"/>
  <c r="B115" i="2"/>
  <c r="B106" i="2"/>
  <c r="B105" i="2"/>
  <c r="B104" i="2"/>
  <c r="B98" i="2"/>
  <c r="L88" i="2"/>
  <c r="F22" i="1" s="1"/>
  <c r="H22" i="1" s="1"/>
  <c r="B88" i="2"/>
  <c r="L85" i="2"/>
  <c r="F21" i="1" s="1"/>
  <c r="B85" i="2"/>
  <c r="L73" i="2"/>
  <c r="F20" i="1" s="1"/>
  <c r="H20" i="1" s="1"/>
  <c r="L46" i="2"/>
  <c r="F17" i="1" s="1"/>
  <c r="L54" i="2" l="1"/>
  <c r="F18" i="1" s="1"/>
  <c r="B64" i="2"/>
  <c r="L41" i="2"/>
  <c r="F16" i="1" s="1"/>
  <c r="B54" i="2"/>
  <c r="B46" i="2"/>
  <c r="B41" i="2"/>
  <c r="L16" i="2"/>
  <c r="F12" i="1" s="1"/>
  <c r="B22" i="2"/>
  <c r="B16" i="2"/>
  <c r="L12" i="2"/>
  <c r="F11" i="1" s="1"/>
  <c r="B12" i="2"/>
  <c r="H92" i="1" l="1"/>
  <c r="H13" i="1"/>
  <c r="H19" i="1"/>
  <c r="H52" i="1"/>
  <c r="H118" i="1"/>
  <c r="H116" i="1" s="1"/>
  <c r="H105" i="1"/>
  <c r="H44" i="1"/>
  <c r="H77" i="1" l="1"/>
  <c r="B8" i="2"/>
  <c r="C15" i="3" l="1"/>
  <c r="G15" i="3" s="1"/>
  <c r="D19" i="4"/>
  <c r="F15" i="3" l="1"/>
  <c r="H53" i="1"/>
  <c r="C10" i="3" l="1"/>
  <c r="F10" i="3" s="1"/>
  <c r="D14" i="4"/>
  <c r="H124" i="1"/>
  <c r="H123" i="1" s="1"/>
  <c r="H122" i="1" l="1"/>
  <c r="H121" i="1"/>
  <c r="H120" i="1"/>
  <c r="H42" i="1"/>
  <c r="H43" i="1"/>
  <c r="H64" i="1"/>
  <c r="H119" i="1" l="1"/>
  <c r="H115" i="1" s="1"/>
  <c r="H109" i="1"/>
  <c r="H110" i="1"/>
  <c r="C19" i="3" l="1"/>
  <c r="D23" i="4"/>
  <c r="I19" i="3"/>
  <c r="H19" i="3"/>
  <c r="H107" i="1"/>
  <c r="H104" i="1"/>
  <c r="H103" i="1" s="1"/>
  <c r="H101" i="1"/>
  <c r="H100" i="1"/>
  <c r="H98" i="1"/>
  <c r="H97" i="1" s="1"/>
  <c r="H95" i="1"/>
  <c r="H99" i="1" l="1"/>
  <c r="H102" i="1"/>
  <c r="H94" i="1"/>
  <c r="H91" i="1"/>
  <c r="H93" i="1"/>
  <c r="H89" i="1"/>
  <c r="H76" i="1"/>
  <c r="H75" i="1"/>
  <c r="H73" i="1"/>
  <c r="H72" i="1"/>
  <c r="H71" i="1"/>
  <c r="H69" i="1"/>
  <c r="H70" i="1"/>
  <c r="H68" i="1"/>
  <c r="C17" i="3" l="1"/>
  <c r="H17" i="3" s="1"/>
  <c r="D21" i="4"/>
  <c r="H88" i="1"/>
  <c r="H87" i="1" s="1"/>
  <c r="H74" i="1"/>
  <c r="H67" i="1"/>
  <c r="C16" i="3" l="1"/>
  <c r="H16" i="3" s="1"/>
  <c r="D20" i="4"/>
  <c r="H66" i="1"/>
  <c r="H65" i="1"/>
  <c r="H63" i="1" s="1"/>
  <c r="H46" i="1"/>
  <c r="H60" i="1"/>
  <c r="H61" i="1"/>
  <c r="H58" i="1"/>
  <c r="H34" i="1"/>
  <c r="C14" i="3" l="1"/>
  <c r="F14" i="3" s="1"/>
  <c r="D18" i="4"/>
  <c r="D16" i="4"/>
  <c r="H45" i="1"/>
  <c r="C13" i="3" l="1"/>
  <c r="G13" i="3" s="1"/>
  <c r="D17" i="4"/>
  <c r="C12" i="3"/>
  <c r="G12" i="3" s="1"/>
  <c r="C9" i="3"/>
  <c r="F9" i="3" s="1"/>
  <c r="D13" i="4"/>
  <c r="H36" i="1"/>
  <c r="H35" i="1" s="1"/>
  <c r="G9" i="3" l="1"/>
  <c r="H33" i="1"/>
  <c r="H32" i="1" s="1"/>
  <c r="H29" i="1"/>
  <c r="H12" i="1" l="1"/>
  <c r="H31" i="1"/>
  <c r="C8" i="3" l="1"/>
  <c r="I8" i="3" s="1"/>
  <c r="D12" i="4"/>
  <c r="H22" i="3"/>
  <c r="H28" i="1"/>
  <c r="H25" i="1" s="1"/>
  <c r="H16" i="1"/>
  <c r="L8" i="2"/>
  <c r="F10" i="1" s="1"/>
  <c r="E8" i="3" l="1"/>
  <c r="C6" i="3"/>
  <c r="I6" i="3" s="1"/>
  <c r="I22" i="3" s="1"/>
  <c r="D10" i="4"/>
  <c r="F22" i="3"/>
  <c r="G22" i="3"/>
  <c r="H17" i="1"/>
  <c r="H21" i="1"/>
  <c r="H10" i="1"/>
  <c r="H11" i="1"/>
  <c r="H18" i="1"/>
  <c r="E6" i="3" l="1"/>
  <c r="H9" i="1"/>
  <c r="H8" i="1" s="1"/>
  <c r="H128" i="1" l="1"/>
  <c r="D9" i="4"/>
  <c r="C25" i="4" s="1"/>
  <c r="C14" i="4" s="1"/>
  <c r="C20" i="4" l="1"/>
  <c r="C23" i="4"/>
  <c r="C10" i="4"/>
  <c r="C18" i="4"/>
  <c r="C11" i="4"/>
  <c r="C17" i="4"/>
  <c r="C21" i="4"/>
  <c r="C22" i="4"/>
  <c r="C15" i="4"/>
  <c r="C24" i="4"/>
  <c r="C9" i="4"/>
  <c r="C27" i="4"/>
  <c r="C13" i="4"/>
  <c r="C16" i="4"/>
  <c r="C19" i="4"/>
  <c r="C12" i="4"/>
  <c r="C5" i="3"/>
  <c r="E5" i="3" s="1"/>
  <c r="C21" i="3" l="1"/>
  <c r="D5" i="3" s="1"/>
  <c r="E22" i="3"/>
  <c r="I24" i="3" l="1"/>
  <c r="H24" i="3"/>
  <c r="G24" i="3"/>
  <c r="D6" i="3"/>
  <c r="D20" i="3"/>
  <c r="D7" i="3"/>
  <c r="D18" i="3"/>
  <c r="D15" i="3"/>
  <c r="D10" i="3"/>
  <c r="D19" i="3"/>
  <c r="D17" i="3"/>
  <c r="D16" i="3"/>
  <c r="D13" i="3"/>
  <c r="D14" i="3"/>
  <c r="D12" i="3"/>
  <c r="D9" i="3"/>
  <c r="D11" i="3"/>
  <c r="D8" i="3"/>
  <c r="D21" i="3" l="1"/>
  <c r="B6" i="2" l="1"/>
  <c r="E23" i="3" l="1"/>
  <c r="F23" i="3" s="1"/>
  <c r="G23" i="3" s="1"/>
  <c r="H23" i="3" l="1"/>
  <c r="I23" i="3" s="1"/>
  <c r="G25" i="3"/>
  <c r="E24" i="3"/>
  <c r="E25" i="3" s="1"/>
  <c r="F24" i="3"/>
  <c r="F25" i="3"/>
  <c r="H25" i="3" l="1"/>
  <c r="I25" i="3" l="1"/>
</calcChain>
</file>

<file path=xl/sharedStrings.xml><?xml version="1.0" encoding="utf-8"?>
<sst xmlns="http://schemas.openxmlformats.org/spreadsheetml/2006/main" count="1781" uniqueCount="655">
  <si>
    <t>Ref.</t>
  </si>
  <si>
    <t>Fonte</t>
  </si>
  <si>
    <t>Código</t>
  </si>
  <si>
    <t>Item</t>
  </si>
  <si>
    <t>Unid.</t>
  </si>
  <si>
    <t>Quant.</t>
  </si>
  <si>
    <t>Unit.</t>
  </si>
  <si>
    <t>Total</t>
  </si>
  <si>
    <t>PLANILHA ORÇAMENTÁRIA</t>
  </si>
  <si>
    <t>1.0</t>
  </si>
  <si>
    <t>SERVIÇOS PRELIMINARES</t>
  </si>
  <si>
    <t>m²</t>
  </si>
  <si>
    <t>2.0</t>
  </si>
  <si>
    <t>3.0</t>
  </si>
  <si>
    <t>PLANILHA QUANTITATIVA</t>
  </si>
  <si>
    <t>Descrição</t>
  </si>
  <si>
    <t>Comprim.</t>
  </si>
  <si>
    <t>Largura</t>
  </si>
  <si>
    <t>Altura</t>
  </si>
  <si>
    <t>Área</t>
  </si>
  <si>
    <t>Volume</t>
  </si>
  <si>
    <t>Descontos</t>
  </si>
  <si>
    <t>Coef.</t>
  </si>
  <si>
    <t>-</t>
  </si>
  <si>
    <t>CRONOGRAMA FÍSICO-FINANCEIRO</t>
  </si>
  <si>
    <t>ITEM</t>
  </si>
  <si>
    <t>DESCRIÇÃO</t>
  </si>
  <si>
    <t>VALOR (R$)</t>
  </si>
  <si>
    <t>% DO ITEM</t>
  </si>
  <si>
    <t>PERÍODO (MÊS)</t>
  </si>
  <si>
    <t>VALORES TOTAIS</t>
  </si>
  <si>
    <t>Total Parcial (R$)</t>
  </si>
  <si>
    <t>Total Acumulado (R$)</t>
  </si>
  <si>
    <t>Total Parcial (%)</t>
  </si>
  <si>
    <t>Total Acumulado (%)</t>
  </si>
  <si>
    <t>%</t>
  </si>
  <si>
    <t>RESUMO DE ORÇAMENTO</t>
  </si>
  <si>
    <t>VALORES (R$)</t>
  </si>
  <si>
    <t>RESUMO</t>
  </si>
  <si>
    <t>CUSTO TOTAL (R$)</t>
  </si>
  <si>
    <t>ÁREA PROJETADA (M²)</t>
  </si>
  <si>
    <t>CUSTO POR M²</t>
  </si>
  <si>
    <t>COMPOSIÇÃO ANALÍTICA DE PREÇO UNITÁRIO</t>
  </si>
  <si>
    <t>Data-base</t>
  </si>
  <si>
    <t>SERVIÇO:</t>
  </si>
  <si>
    <t>CÓD.</t>
  </si>
  <si>
    <t>ORGÃO</t>
  </si>
  <si>
    <t>m³</t>
  </si>
  <si>
    <t>(B) TOTAL</t>
  </si>
  <si>
    <t>UNIDADE:</t>
  </si>
  <si>
    <t>(F) TOTAL</t>
  </si>
  <si>
    <t>Preço Unitário Total</t>
  </si>
  <si>
    <t>m</t>
  </si>
  <si>
    <t>COMPOSIÇÃO 01</t>
  </si>
  <si>
    <t>COMPOSIÇÃO 02</t>
  </si>
  <si>
    <t>Pr. Unit.</t>
  </si>
  <si>
    <t>und</t>
  </si>
  <si>
    <r>
      <t>Local:</t>
    </r>
    <r>
      <rPr>
        <sz val="12"/>
        <color indexed="8"/>
        <rFont val="Calibri"/>
        <family val="2"/>
        <scheme val="minor"/>
      </rPr>
      <t xml:space="preserve"> Itarana/ES</t>
    </r>
  </si>
  <si>
    <r>
      <t>Contratante:</t>
    </r>
    <r>
      <rPr>
        <sz val="12"/>
        <color indexed="8"/>
        <rFont val="Calibri"/>
        <family val="2"/>
        <scheme val="minor"/>
      </rPr>
      <t xml:space="preserve"> Prefeitura Municipal de Itarana</t>
    </r>
  </si>
  <si>
    <t>(A) MÃO DE OBRA</t>
  </si>
  <si>
    <t>Custo Horario da Execução (A) + (B)</t>
  </si>
  <si>
    <t xml:space="preserve">(C) Produção da Equipe </t>
  </si>
  <si>
    <t xml:space="preserve">(D) Custo Unitário da Execução [(A) + (B)]/(C) </t>
  </si>
  <si>
    <t>Subtotal</t>
  </si>
  <si>
    <t>IOPES</t>
  </si>
  <si>
    <t>(B) MATERIAIS</t>
  </si>
  <si>
    <t>Custo Direto Total</t>
  </si>
  <si>
    <t>h</t>
  </si>
  <si>
    <t>DESCRIÇÃO DOS SERVIÇOS</t>
  </si>
  <si>
    <t>DEMOLIÇÕES E RETIRADAS</t>
  </si>
  <si>
    <t>Retirada de torneiras e registros</t>
  </si>
  <si>
    <t>Demolição de piso revestido com cerâmica</t>
  </si>
  <si>
    <t>Demolição de alvenaria</t>
  </si>
  <si>
    <t>Demolição manual de concreto simples (EMOP 05.001.001)</t>
  </si>
  <si>
    <t>Und.</t>
  </si>
  <si>
    <t>SINAPI</t>
  </si>
  <si>
    <t>ALVENARIA DE VEDAÇÃO</t>
  </si>
  <si>
    <t>Retirada de portas e janelas de madeira, inclusive batentes</t>
  </si>
  <si>
    <t xml:space="preserve">m² </t>
  </si>
  <si>
    <t>Abertura e fechamento de rasgos em alvenaria, para passagem de tubulações, diâm. 1/2" a 1"</t>
  </si>
  <si>
    <t xml:space="preserve">ABERTURA E FECHAMENTO DE RASGOS </t>
  </si>
  <si>
    <t xml:space="preserve">VERGAS E CONTRAVERGAS </t>
  </si>
  <si>
    <t>Verga/contraverga reta de concreto armado 10 x 5 cm, Fck = 15 MPa, inclusive forma, armação e desforma</t>
  </si>
  <si>
    <t xml:space="preserve"> Abertura e fechamento de rasgos em alvenaria, para passagem de eletrodutos diâm. 1/2" a 1"</t>
  </si>
  <si>
    <t>ESQUADRIA METÁLICA</t>
  </si>
  <si>
    <t>REVESTIMENTO DE TETOS</t>
  </si>
  <si>
    <t>Forro PVC branco L = 20 cm, frisado, colocado</t>
  </si>
  <si>
    <t>REVESTIMENTO DE PAREDES</t>
  </si>
  <si>
    <t>Rejuntamento empregando argamassa para rejunte, esp. 5mm</t>
  </si>
  <si>
    <t>Porta de abrir tipo veneziana em alumínio anodizado, linha 25, completa, incl. puxador com tranca, caixilho, alizar e contramarco</t>
  </si>
  <si>
    <t>COBERTURA</t>
  </si>
  <si>
    <t xml:space="preserve">Revisão da cobertura considerando limpeza da estrutura com lixamento e escovamento com escova de aço, até a completa remoção de partículas soltas, materiais indesejáveis e corrosão, substituição da fixação das telhas e vedação </t>
  </si>
  <si>
    <t>Reboco tipo paulista de argamassa de cimento, cal hidratada CH1 e areia lavada traço 1:0.5:6, espessura 25 mm</t>
  </si>
  <si>
    <t>ORÇAMENTISTA: CATARINA DEMONER DINIZ</t>
  </si>
  <si>
    <t>CREA: ES-0048118/D</t>
  </si>
  <si>
    <t>Ajudante</t>
  </si>
  <si>
    <t>Telhadista</t>
  </si>
  <si>
    <t xml:space="preserve">Conjunto de fixação para telha de alumínio trapezoidal </t>
  </si>
  <si>
    <t xml:space="preserve">Fitas anti-corrosivas para assentamento de telhas </t>
  </si>
  <si>
    <t>BDI: 26,54%</t>
  </si>
  <si>
    <t>REVESTIMENTO DE PISOS</t>
  </si>
  <si>
    <t>Piso cerâmico 45x45cm, PEI 5, Cargo Plus Gray, marcas de referência Eliane, Cecrisa ou Portobello, assentado com argamassa de cimento colante, inclusive rejuntamento</t>
  </si>
  <si>
    <t>INSTALAÇÕES HIDROSSANITÁRIAS</t>
  </si>
  <si>
    <t>Ponto de água fria (lavatório, tanque, pia de cozinha, etc...)</t>
  </si>
  <si>
    <t>pt</t>
  </si>
  <si>
    <t xml:space="preserve">Ponto com registro de gaveta 1/2" </t>
  </si>
  <si>
    <t>Encanador</t>
  </si>
  <si>
    <t>Adesivo para tubo PVC rígido</t>
  </si>
  <si>
    <t xml:space="preserve">Solução limpadora para PVC rígido </t>
  </si>
  <si>
    <t>L</t>
  </si>
  <si>
    <t>Kg</t>
  </si>
  <si>
    <t>TUBO DE PVC SOLDAVEL DE 25MM</t>
  </si>
  <si>
    <t>Fita de vedação 18mm X 50 m</t>
  </si>
  <si>
    <t>Adaptador PVC sold. Para registro 25mm X 3/4"</t>
  </si>
  <si>
    <t>Joelho 90 de PVC soldável de 25 mm</t>
  </si>
  <si>
    <t>Joelho de redução 90 PVC sold/rosca de 25 X 1/2"</t>
  </si>
  <si>
    <t>Luva PVC sold./rosca de 25 X 3/4"</t>
  </si>
  <si>
    <t>Registro de gaveta cromado 3/4"</t>
  </si>
  <si>
    <t>Ponto para esgoto primário (vaso sanitário)</t>
  </si>
  <si>
    <t>Ponto para esgoto secundário (pia, lavatório, mictório, tanque, bidê, etc...)</t>
  </si>
  <si>
    <t xml:space="preserve">PONTOS HIDROSANITÁRIOS </t>
  </si>
  <si>
    <t>TUBOS DE LIGAÇÃO PARA CAIXAS</t>
  </si>
  <si>
    <t>Tubo PVC rígido para esgoto no diâmetro de 100mm incluindo escavação e aterro com areia</t>
  </si>
  <si>
    <t>Ponto para caixa sifonada, inclusive caixa sifonada pvc 150x150x50mm com grelha em aço inox</t>
  </si>
  <si>
    <t>INSTALAÇÕES ELÉTRICAS</t>
  </si>
  <si>
    <t xml:space="preserve">APARELHOS SANITÁRIOS </t>
  </si>
  <si>
    <t xml:space="preserve">Cuba de embutir oval em louça branca, 35 x 50 cm, fornecimento e intalação </t>
  </si>
  <si>
    <t>Assento plástico para vaso sanitário, marcas de referência Deca, Celite ou Ideal Standard</t>
  </si>
  <si>
    <t>Saboneteira plástica tipo dispenser para sabonete líquido com reservatório 800 a 1500 ml, incluso fixação</t>
  </si>
  <si>
    <t>Toalheiro plástico tipo dispenser para papel toalha interfolhado</t>
  </si>
  <si>
    <t>COMPOSIÇÃO 03</t>
  </si>
  <si>
    <t>BANCADAS</t>
  </si>
  <si>
    <t>Bancada de granito com espessura de 2 cm</t>
  </si>
  <si>
    <t>Cuba de embutir de aço inoxidável média, incluso válvula tipo americana em metal cromado e sifão flexível em PVC - fornecimento e instalação</t>
  </si>
  <si>
    <t>Torneira cromada de mesa bica alta, 1/2" ou 3/4", para lavatório - fornecimento e instalação</t>
  </si>
  <si>
    <t>TORNEIRAS</t>
  </si>
  <si>
    <t xml:space="preserve">CUBAS, SANITÁRIOS E ACESSÓRIOS </t>
  </si>
  <si>
    <t>APARELHOS ELÉTRICOS</t>
  </si>
  <si>
    <t xml:space="preserve">INTERRUPTORES E TOMADAS </t>
  </si>
  <si>
    <t>Interruptor de uma tecla simples 10A/250V, com placa 4x2"</t>
  </si>
  <si>
    <t>Tomada para telefone RJ11 - fornecimento e instalação</t>
  </si>
  <si>
    <t>Tomada de rede RJ 45 - fornecimento e instalação</t>
  </si>
  <si>
    <t>LUMINÁRIAS E LÂMPADAS</t>
  </si>
  <si>
    <t>Eletricista</t>
  </si>
  <si>
    <t>COMPOSIÇÃO 04</t>
  </si>
  <si>
    <t xml:space="preserve">PINTURA </t>
  </si>
  <si>
    <t xml:space="preserve">ACABAMENTO </t>
  </si>
  <si>
    <t>Regularização de base p/ revestimento cerâmico, com argamassa de cimento e areia no traço 1:5, espessura 3cm</t>
  </si>
  <si>
    <t>Janela de correr para vidro em alumínio anodizado cor natural, linha 25, completa, incl. puxador com tranca, alizar, caixilho e contramarco, exclusive vidro</t>
  </si>
  <si>
    <t>PAREDES E TETOS</t>
  </si>
  <si>
    <t>Aplicação manual de pintura com tinta látex PVA em teto, duas demãos</t>
  </si>
  <si>
    <t>Aplicação manual de tinta látex acrílica em paredes externas, duas demãos</t>
  </si>
  <si>
    <t xml:space="preserve">SERVIÇOS COMPLEMENTARES </t>
  </si>
  <si>
    <t>Plantio de grama em placa</t>
  </si>
  <si>
    <t>Plantio de arbusto, com muda de arbusto folhagem ou equivalente</t>
  </si>
  <si>
    <t>COTAÇÃO 8</t>
  </si>
  <si>
    <t>Separador/limitador de grama</t>
  </si>
  <si>
    <t>COMPOSIÇÃO 05</t>
  </si>
  <si>
    <t>Banco de concreto armado aparente Fck=15 MPa, com apoios de concreto, largura de 45 cm, espessura de 7 cm e altura de 45 cm</t>
  </si>
  <si>
    <t>Vidro plano transparente liso, com 4 mm de espessura</t>
  </si>
  <si>
    <t xml:space="preserve">Revestimento cerâmico para paredes internas com placas tipo esmaltada, padrão popular, 20 x 20 cm, aplicado na altura inteira das paredes </t>
  </si>
  <si>
    <t>Vaso sanitário com caixa acoplada louça branca, incluso engate flexível em plástico branco, 1/2 X 40 cm - fornecimento e instalação</t>
  </si>
  <si>
    <t>Torneira cromada de mesa, bica baixa, 1/2" ou 3/4", para lavatório, padrão popular - fornecimento e instalação</t>
  </si>
  <si>
    <t>Pintura com verniz filtro solar fosco, linha Premium, em madeira, a três demãos, marcas de referência Suvinil, Coral ou Metalatex</t>
  </si>
  <si>
    <t>PORTAS E JANELAS EM MADEIRA</t>
  </si>
  <si>
    <t>COMPOSIÇÃO 06</t>
  </si>
  <si>
    <t>Pintura com tinta esmalte sintético, cor branco, marcas de referência Suvinil, Coral ou Metalatex, a duas demãos, inclusive fundo anticorrosivo a uma demão, em metal</t>
  </si>
  <si>
    <t>ESTRUTURAS EM CONCRETO</t>
  </si>
  <si>
    <t xml:space="preserve">Caixa pré-moldada de concreto para aparelho de ar condicionado </t>
  </si>
  <si>
    <t>Pedreiro</t>
  </si>
  <si>
    <t>Servente</t>
  </si>
  <si>
    <t>kg</t>
  </si>
  <si>
    <t>COMPOSIÇÃO 07</t>
  </si>
  <si>
    <t>Forn. e assent. de telhas de liga de alumínio e zinco (galvalume), ondulada, esp. mínima 0.43mm, alt. mínima de onda 17mm, sobrep. lateral de uma onda e longit. 200mm c/ mínimo de 3 apoios, assent. c/ utiliz. de fitas anti-corrosiva</t>
  </si>
  <si>
    <t>COMPOSIÇÃO 08</t>
  </si>
  <si>
    <t>Remoção de pintura antiga a base de óleo ou esmalte sobre esquadrias</t>
  </si>
  <si>
    <t>Retirada de pateleiras em granito</t>
  </si>
  <si>
    <t>Retirada de prateleiras em granito</t>
  </si>
  <si>
    <t>COMPOSIÇÃO 09</t>
  </si>
  <si>
    <t>COMPOSIÇÃO 10</t>
  </si>
  <si>
    <t xml:space="preserve">Instalação de mictório e acessórios, exclusive mictório </t>
  </si>
  <si>
    <t>Bucha plástica 8 mm</t>
  </si>
  <si>
    <t xml:space="preserve">Engates cromados </t>
  </si>
  <si>
    <t xml:space="preserve">Fita de vedação 18mmX50m </t>
  </si>
  <si>
    <t>Parafuso cromado para fixação sanitários</t>
  </si>
  <si>
    <t>(A) TOTAL</t>
  </si>
  <si>
    <t>Ponto p/ válvula (mictório), inclusive válvula, com acabamento marca de referência Pressmatic Docol, Mod. 17015106 e tubo de ligação p/mictório antivandalismo Pressmatic Mod. 00132606 marca de ref. Docol ou equivalente</t>
  </si>
  <si>
    <t>Instalação de mictório e acessórios, exclusive mictório</t>
  </si>
  <si>
    <t xml:space="preserve">m³ </t>
  </si>
  <si>
    <t>Conselho</t>
  </si>
  <si>
    <t>Administração 1</t>
  </si>
  <si>
    <t>Assistência</t>
  </si>
  <si>
    <t>Psicologia</t>
  </si>
  <si>
    <t>Administração 2</t>
  </si>
  <si>
    <t>Laboratório Coleta</t>
  </si>
  <si>
    <t>Análise</t>
  </si>
  <si>
    <t>Vig. Sanitária</t>
  </si>
  <si>
    <t>Epidemiológica</t>
  </si>
  <si>
    <t xml:space="preserve">Ambiental </t>
  </si>
  <si>
    <t>Secretária de Assistência Social</t>
  </si>
  <si>
    <t>Circulação 1</t>
  </si>
  <si>
    <t>Circulação 2</t>
  </si>
  <si>
    <t>Circulação 3</t>
  </si>
  <si>
    <t>Circulação 4</t>
  </si>
  <si>
    <t>Retirada de ventilador, de forma manual</t>
  </si>
  <si>
    <t>COMPOSIÇÃO 11</t>
  </si>
  <si>
    <t>Secretaria</t>
  </si>
  <si>
    <t xml:space="preserve">PONTOS ELÉTRICOS </t>
  </si>
  <si>
    <t xml:space="preserve">REPAROS </t>
  </si>
  <si>
    <t>COMPOSIÇÃO 12</t>
  </si>
  <si>
    <t>Reparos em fechaduras</t>
  </si>
  <si>
    <t xml:space="preserve">Predeiro </t>
  </si>
  <si>
    <t xml:space="preserve">Reparos em fechaduras </t>
  </si>
  <si>
    <t>COMPOSIÇÃO 13</t>
  </si>
  <si>
    <t>Massa epóxi bicomponente para reparos</t>
  </si>
  <si>
    <t xml:space="preserve">Reparos em trincas e fissuras </t>
  </si>
  <si>
    <t>TUBOS E CONDUTORES</t>
  </si>
  <si>
    <t>Cabo eletrônico, categoria 5E - fornecimento e instalação</t>
  </si>
  <si>
    <t>Execução de junta de dilatação 2 x 2 cm considerando 1cm de aplicação de isopor e 1cm de aplicação de mastique elástico do tipo sikaflex 1a ou equivalente</t>
  </si>
  <si>
    <t>Rufo de chapa metálica nº 26 com largura de 30 cm</t>
  </si>
  <si>
    <t>Arruela de alumínio fundido 3/4"</t>
  </si>
  <si>
    <t>Bucha de alumínio fundido 3/4"</t>
  </si>
  <si>
    <t xml:space="preserve">Cabo flex isol. Termoplast. 750V - 2,5 mm² </t>
  </si>
  <si>
    <t xml:space="preserve">Eletroduto PVC flexível corrugado 3/4" </t>
  </si>
  <si>
    <t xml:space="preserve">Cabo flex isol. Termoplast. 750V - 4,0 mm² </t>
  </si>
  <si>
    <t xml:space="preserve">Ponto padrão de tomada para ar refrigerado - considerando eletroduto PVC flexível corrugado de 3/4" inclusive conexões (6.0m), fio isolado PVC de 4.0mm2 (21.6m) e caixa estampada 4x2" </t>
  </si>
  <si>
    <t>Caixa estampada 4x2" - chapa 18</t>
  </si>
  <si>
    <t>Ponto padrão de tomada para ar refrigerado - considerando eletroduto PVC flexível corrugado de 3/4" inclusive conexões (6.0m), fio isolado PVC de 4.0mm2 (21.6m) e caixa estampada 4x2"</t>
  </si>
  <si>
    <t xml:space="preserve">Recolocação de prateleiras em granito </t>
  </si>
  <si>
    <t xml:space="preserve">Servente </t>
  </si>
  <si>
    <t xml:space="preserve">Areia lavada media </t>
  </si>
  <si>
    <t>Cimento portland CP III-40</t>
  </si>
  <si>
    <t>Recolocação de prateleiras em granito</t>
  </si>
  <si>
    <t>Patch panel 48 portas, categoria 6 - fornecimento e instalação</t>
  </si>
  <si>
    <t xml:space="preserve">Ponto padrão de interruptor de 1 tecla - considerando eletroduto PVC flexível corrugado de 3/4" inclusive conexões (8.5m), fio isolado PVC de 2.5mm2 (28.8m) e caixa estampada 4x2" </t>
  </si>
  <si>
    <t>Pátio Aberto 2</t>
  </si>
  <si>
    <t>Engenharia</t>
  </si>
  <si>
    <t>Luminária tipo plafonier em plástico, de sobrepor, com 1 lâmpada - fornecimento e instalação</t>
  </si>
  <si>
    <t>Aplicação manual de pintura com tinta látex acrílica em paredes internas, duas demãos</t>
  </si>
  <si>
    <t>Calha em chapa de aço galvanizado, número 24, desenvolvimento de 33 cm</t>
  </si>
  <si>
    <t xml:space="preserve">TOTAL: </t>
  </si>
  <si>
    <t xml:space="preserve">WC Masculino </t>
  </si>
  <si>
    <t>WC Feminino</t>
  </si>
  <si>
    <t>WC Masculino</t>
  </si>
  <si>
    <t>Secretária Ass. Social</t>
  </si>
  <si>
    <t>Administração</t>
  </si>
  <si>
    <t>Sala 5</t>
  </si>
  <si>
    <t>Prime</t>
  </si>
  <si>
    <t>Atendimento Particular 1</t>
  </si>
  <si>
    <t>Atendimento Particular 2</t>
  </si>
  <si>
    <t>Secretária Saúde</t>
  </si>
  <si>
    <t>Obras</t>
  </si>
  <si>
    <t>1.1</t>
  </si>
  <si>
    <t>1.1.1</t>
  </si>
  <si>
    <t>2.1</t>
  </si>
  <si>
    <t>2.1.1</t>
  </si>
  <si>
    <t>2.2.1</t>
  </si>
  <si>
    <t>2.2</t>
  </si>
  <si>
    <t>2.3</t>
  </si>
  <si>
    <t>2.3.1</t>
  </si>
  <si>
    <t>2.3.2</t>
  </si>
  <si>
    <t>2.4</t>
  </si>
  <si>
    <t>2.4.1</t>
  </si>
  <si>
    <t>3.1</t>
  </si>
  <si>
    <t>3.2</t>
  </si>
  <si>
    <t>3.3</t>
  </si>
  <si>
    <t>4.0</t>
  </si>
  <si>
    <t>4.1</t>
  </si>
  <si>
    <t>4.2</t>
  </si>
  <si>
    <t>5.0</t>
  </si>
  <si>
    <t>5.1</t>
  </si>
  <si>
    <t>5.2</t>
  </si>
  <si>
    <t>5.3</t>
  </si>
  <si>
    <t>5.4</t>
  </si>
  <si>
    <t>6.0</t>
  </si>
  <si>
    <t>6.1</t>
  </si>
  <si>
    <t>6.2</t>
  </si>
  <si>
    <t>7.0</t>
  </si>
  <si>
    <t>8.0</t>
  </si>
  <si>
    <t>8.1</t>
  </si>
  <si>
    <t>9.0</t>
  </si>
  <si>
    <t>9.1</t>
  </si>
  <si>
    <t>10.0</t>
  </si>
  <si>
    <t>10.1</t>
  </si>
  <si>
    <t>10.1.1</t>
  </si>
  <si>
    <t>10.1.2</t>
  </si>
  <si>
    <t>11.0</t>
  </si>
  <si>
    <t>11.1</t>
  </si>
  <si>
    <t>11.1.1</t>
  </si>
  <si>
    <t>11.1.2</t>
  </si>
  <si>
    <t>11.1.3</t>
  </si>
  <si>
    <t>11.2</t>
  </si>
  <si>
    <t>11.2.1</t>
  </si>
  <si>
    <t>11.2.2</t>
  </si>
  <si>
    <t>12.0</t>
  </si>
  <si>
    <t>12.1</t>
  </si>
  <si>
    <t>12.1.1</t>
  </si>
  <si>
    <t>12.1.2</t>
  </si>
  <si>
    <t>12.2</t>
  </si>
  <si>
    <t>13.0</t>
  </si>
  <si>
    <t>13.1</t>
  </si>
  <si>
    <t>13.1.1</t>
  </si>
  <si>
    <t>13.1.2</t>
  </si>
  <si>
    <t>13.1.3</t>
  </si>
  <si>
    <t>13.2</t>
  </si>
  <si>
    <t>13.2.1</t>
  </si>
  <si>
    <t>14.0</t>
  </si>
  <si>
    <t>14.1</t>
  </si>
  <si>
    <t>14.2</t>
  </si>
  <si>
    <t>15.0</t>
  </si>
  <si>
    <t>15.1</t>
  </si>
  <si>
    <t>15.2</t>
  </si>
  <si>
    <t>15.3</t>
  </si>
  <si>
    <t>16.0</t>
  </si>
  <si>
    <t>16.1</t>
  </si>
  <si>
    <t xml:space="preserve">Porta de saída (Rua Dom Luiz Scortegagna) </t>
  </si>
  <si>
    <t>Sala 14</t>
  </si>
  <si>
    <t>Sala 15</t>
  </si>
  <si>
    <t>Administração Obras</t>
  </si>
  <si>
    <t>Circulação 6</t>
  </si>
  <si>
    <t>Janela (Secretária Saúde): 4,00 m</t>
  </si>
  <si>
    <t>Janela (Secretária Ass. Social): 4,00 m</t>
  </si>
  <si>
    <t>Conselho: 2 luminárias</t>
  </si>
  <si>
    <t>Circulação 1: 1 luminária</t>
  </si>
  <si>
    <t>Almoxarifado 1: 1 luminária</t>
  </si>
  <si>
    <t>Administração 1: 1 luminária</t>
  </si>
  <si>
    <t>Bazar de Roupas: 1 luminária</t>
  </si>
  <si>
    <t>Despensa: 1 luminária</t>
  </si>
  <si>
    <t>Circulação 2: 1 luminária</t>
  </si>
  <si>
    <t>Prime: 1 luminária</t>
  </si>
  <si>
    <t>Circulação 3: 2 luminárias</t>
  </si>
  <si>
    <t>Assistência: 1 luminária</t>
  </si>
  <si>
    <t>Psicologia: 1 luminária</t>
  </si>
  <si>
    <t>Atendimento Particular 1: 1 luminária</t>
  </si>
  <si>
    <t>Atendimento Particular 2: 1 luminária</t>
  </si>
  <si>
    <t>Administração 2: 1 luminária</t>
  </si>
  <si>
    <t>Almoxarifado 2: 1 luminária</t>
  </si>
  <si>
    <t>Circulação 4: 1 luminária</t>
  </si>
  <si>
    <t>Corredor 2</t>
  </si>
  <si>
    <t>Circulação 4: 1 lâmpada</t>
  </si>
  <si>
    <t>Secretária Saúde: 2 lâmpadas</t>
  </si>
  <si>
    <t>Corredor 2: 7 lâmpadas</t>
  </si>
  <si>
    <t>WC Masculino: 3 lâmpadas</t>
  </si>
  <si>
    <t>WC Feminino: 3 lâmpadas</t>
  </si>
  <si>
    <t>Corredor 3: 13 lâmpadas</t>
  </si>
  <si>
    <t>Luminária tipo plafonier em plástico, de sobrepor, exclusive lâmpada - fornecimento e instalação</t>
  </si>
  <si>
    <t>Auxiliar de Eletricista</t>
  </si>
  <si>
    <t>Luminária de teto plafonier em plástico com base E27, potência máximA, exclusive lâmpada</t>
  </si>
  <si>
    <t>Reator eletrônico bivolt para 1 lâmpada LED</t>
  </si>
  <si>
    <t>Soquete de baquelite base E27, para lâmpadas</t>
  </si>
  <si>
    <t>Lâmpada LED tubular bivolt 9/10 W, base G13</t>
  </si>
  <si>
    <t>Lâmpada tubular de LED, 9/10 W, Base G13 - fornecimento e instalação</t>
  </si>
  <si>
    <t>12.1.4</t>
  </si>
  <si>
    <t xml:space="preserve">Ponto de tomada residencial, incluindo tomada (2 módulos) 10A, caixa elétrica, eletroduto flexível, cabo, rasco, quebra e chumbamento </t>
  </si>
  <si>
    <t>1.1.2</t>
  </si>
  <si>
    <t>1.1.3</t>
  </si>
  <si>
    <t>1.1.4</t>
  </si>
  <si>
    <t>1.1.5</t>
  </si>
  <si>
    <t>1.1.6</t>
  </si>
  <si>
    <t>1.1.8</t>
  </si>
  <si>
    <t>1.1.9</t>
  </si>
  <si>
    <t>1.1.10</t>
  </si>
  <si>
    <t>1.1.11</t>
  </si>
  <si>
    <t>1.1.12</t>
  </si>
  <si>
    <t>1.1.13</t>
  </si>
  <si>
    <t>1.1.14</t>
  </si>
  <si>
    <t>Fornecimento e instalação de divisórias novas com acabamento de chapa de fibra de madeira, sistema de montagem simplificado, espessura de 35mm e miolo em colméia no padrão painel/painel</t>
  </si>
  <si>
    <t xml:space="preserve">DIVISÓRIAS </t>
  </si>
  <si>
    <t>PAREDES E DIVISÓRIAS</t>
  </si>
  <si>
    <t>2.2.2</t>
  </si>
  <si>
    <t>2.2.3</t>
  </si>
  <si>
    <t>GRADES E GUARDA-CORPO</t>
  </si>
  <si>
    <t>Ponto padrão de interruptor de 1 tecla - considerando eletroduto PVC flexível corrugado de 3/4", inclusive conexões, fio isolado PVC de 2.5mm² e caixa estampada 4x2", exclusive interruptor</t>
  </si>
  <si>
    <t>Caixa de passagem 4x2", chapa 18</t>
  </si>
  <si>
    <t>Bazar de Roupas</t>
  </si>
  <si>
    <t>Despensa</t>
  </si>
  <si>
    <t>Atendimento particular 2</t>
  </si>
  <si>
    <t>Almoxarifado 2</t>
  </si>
  <si>
    <t>Almoxarifado 1</t>
  </si>
  <si>
    <t>Assistência: 2 tomadas</t>
  </si>
  <si>
    <t xml:space="preserve">Admistração 2: 3 tomadas </t>
  </si>
  <si>
    <t>Vig. Sanitária: 3 tomadas</t>
  </si>
  <si>
    <t>Epidemiológica: 2 tomadas</t>
  </si>
  <si>
    <t>Ambiental: 3 tomadas</t>
  </si>
  <si>
    <t>Eletroduto aparente de PVC rígido roscável diâmetro 3/4", inclusive abraçadeira de fixação</t>
  </si>
  <si>
    <t>Secretária Ass. Social: 1 luminária</t>
  </si>
  <si>
    <t>Secretária Saúde: 1 luminária</t>
  </si>
  <si>
    <t>Ambiental</t>
  </si>
  <si>
    <t xml:space="preserve">Adiministração 2 </t>
  </si>
  <si>
    <t>Recepção</t>
  </si>
  <si>
    <t>Adminstração Setor Obras</t>
  </si>
  <si>
    <t>Secretária Ass. Social: 1 tomada</t>
  </si>
  <si>
    <t>Conselho: 2 tomadas</t>
  </si>
  <si>
    <t xml:space="preserve">Administração 1: 2 tomadas </t>
  </si>
  <si>
    <t>Atendimento Particular 1: 1 tomada</t>
  </si>
  <si>
    <t>Atendimento Particular 2: 1 tomada</t>
  </si>
  <si>
    <t>Psicologia: 1 tomada</t>
  </si>
  <si>
    <t>Secretária Saúde: 1 tomada</t>
  </si>
  <si>
    <t>Engenharia: 8 tomadas</t>
  </si>
  <si>
    <t>Admistração Setor Obras: 6 tomadas</t>
  </si>
  <si>
    <t xml:space="preserve">Sala 13: 1 torneira </t>
  </si>
  <si>
    <t xml:space="preserve">Sala 13: 1 lavatório </t>
  </si>
  <si>
    <t>COMPOSIÇÃO 14</t>
  </si>
  <si>
    <t>Remoção de metais sanitários, sem reaproveitamento</t>
  </si>
  <si>
    <t>Remoção de luminárias, de forma manual, sem reaproveitamento</t>
  </si>
  <si>
    <t>Demolição de revestimento cerâmico, de forma manual, sem reaproveitamento</t>
  </si>
  <si>
    <t>Remoção de telhas de fibrocimento, metálica e cerâmica, de forma manual, sem reaproveitamento</t>
  </si>
  <si>
    <t>Sala 11 (ventilador que atrapalharia a nova divisão das salas de Análise e Lab. Coleta)</t>
  </si>
  <si>
    <t>Revestimento cerâmico para paredes internas com placas tipo esmaltada, padrão popular, 20 x 20 cm, aplicadas em ambientes de área maior que 5 m².</t>
  </si>
  <si>
    <t>Administração 4</t>
  </si>
  <si>
    <t>Administração 3</t>
  </si>
  <si>
    <t>Administração 5: 1 luminária</t>
  </si>
  <si>
    <t>Administração 4: 1 luminária</t>
  </si>
  <si>
    <t>Administração 3: 1 luminária</t>
  </si>
  <si>
    <t>Administração 5</t>
  </si>
  <si>
    <t>Administração 4: 2 tomadas</t>
  </si>
  <si>
    <t>Administração 5: 2 tomadas</t>
  </si>
  <si>
    <t>Administração 3: 2 tomadas</t>
  </si>
  <si>
    <t>Alvenaria de blocos cerâmicos 10 furos 10x20x20cm, assentados c/argamassa de cimento, cal hidratada CH1 e areia traço 1:0,5:8, juntas 12mm e esp. das paredes s/revestimento, 10cm (bloco comprado na fábrica, posto obra)</t>
  </si>
  <si>
    <t>Divisória em granito, tipo andorinha, polido, esp. = 3 cm, assentado com argamassa , traço 1:4, arremate em cimento branco, exclusive ferragens.</t>
  </si>
  <si>
    <t>Fornecimento e instalação de porta para divisória, de 80 x 210 cm, incluindo dobradiças e fechadura interna</t>
  </si>
  <si>
    <t>1.1.7</t>
  </si>
  <si>
    <t>Reparos em trincas e fissuras</t>
  </si>
  <si>
    <t xml:space="preserve">Caixa pré-moldada de concreto para aparelho de ar condicionado. </t>
  </si>
  <si>
    <t>Janela (Administração 4): 3,40 m</t>
  </si>
  <si>
    <t xml:space="preserve">WC 4: 4 sanitários </t>
  </si>
  <si>
    <t>WC 3: 3 sanitários e 2 lavatórios</t>
  </si>
  <si>
    <t xml:space="preserve">WC 4: 3 torneiras </t>
  </si>
  <si>
    <t>WC 3: 6 torneiras</t>
  </si>
  <si>
    <t>Tampa para ralo, em aço inox, de 100x100mm</t>
  </si>
  <si>
    <t>Corredor 2: 7 luminárias</t>
  </si>
  <si>
    <t>Corredor 3: 13 luminárias</t>
  </si>
  <si>
    <t>Lâmpada compacta de LED 10 W, base E27 - fornecimento e instalação</t>
  </si>
  <si>
    <t>Lab. Coleta</t>
  </si>
  <si>
    <t>Aministração Obras</t>
  </si>
  <si>
    <t>E,00</t>
  </si>
  <si>
    <t>Sala 6</t>
  </si>
  <si>
    <t>Sala 5: (báscula) - 0,50m(C)*1,20m(A)*2und(Qtd)</t>
  </si>
  <si>
    <t>Sala 6: (báscula) - 0,50m(C)*1,20m(A)*2und(Qtd)</t>
  </si>
  <si>
    <t>Sala dos professores: (báscula) - 0,90m(C)*0,80m(A)</t>
  </si>
  <si>
    <t>WC 4: (porta) - 0,64m(C)*1,75m(A)*3und(Qtd)</t>
  </si>
  <si>
    <t xml:space="preserve">WC 3: (porta) - 0,64m(C)*1,75m(A)*2und(Qtd) </t>
  </si>
  <si>
    <t>Sala 5: 7,24m(C)*0,45m(L)*3und(Qtd)</t>
  </si>
  <si>
    <t>Sala 6: 7,24m(C)*0,45m(L)*3und(Qtd)</t>
  </si>
  <si>
    <t>Secretaria: 3,62m(C) - 0,45m(L) - 4und(Qtd)</t>
  </si>
  <si>
    <t>Sala 1</t>
  </si>
  <si>
    <t>Sala 2</t>
  </si>
  <si>
    <t>Sala 3</t>
  </si>
  <si>
    <t>Sala 4</t>
  </si>
  <si>
    <t>Corredor 1</t>
  </si>
  <si>
    <t>Sala dos professores</t>
  </si>
  <si>
    <t>Sala 11</t>
  </si>
  <si>
    <t>WC 4</t>
  </si>
  <si>
    <t>WC 3</t>
  </si>
  <si>
    <t>Passarela</t>
  </si>
  <si>
    <t>WC 4: [(lavatório) - 3,28m(C)*0,62m(A)*0,43m(L)] + [(divisórias) - 7,65m(C)*1,95m(A)*0,14(L)]</t>
  </si>
  <si>
    <t>WC 3: [(lavatório) - 2,72m(C)*0,62m(A)*0,45m(L)] + [(divisórias) - 7,59m(C)*1,95m(A)*0,14(L)]</t>
  </si>
  <si>
    <t>Tanque 2: 1,36m(C)*0,36m(A)*0,88m(L)</t>
  </si>
  <si>
    <t>Sala dos professores: (abertura para nova janela - J9) - 0,30m(C)*2und(lados)*0,50m(A)*0,31m(L)</t>
  </si>
  <si>
    <t xml:space="preserve">Sala 6: (abertura para nova janela - J13) - 1,80m(C)*1,20m(A)*0,31m(L) </t>
  </si>
  <si>
    <t>Telha metálica</t>
  </si>
  <si>
    <t>Telha de zinco</t>
  </si>
  <si>
    <t>Lixamento de parede com pintura antiga PVA para recebimento de nova camada de tinta</t>
  </si>
  <si>
    <t>Corredor 3: [44,88m(C)*3,06m(A)] - [(descontos) 54,23m²]</t>
  </si>
  <si>
    <t>Teto Passarela: 5,00m(C)*3,57m(L)</t>
  </si>
  <si>
    <t>Fachada: [16,44m(C)*3,50m(A)] + [9,25m(C)*4,37m(A)] + [16,38m(C)*3,60m(A)] + [1,05m(C)*3,50m(A)*2und(lados)] - [(descontos) 66,34m²]</t>
  </si>
  <si>
    <t>Escada: [5,65m(C)*3,33m(A) / 2]</t>
  </si>
  <si>
    <t>Hall: [5,31m(C)*3,68m(A)] - [(descontos) 2,57m²]</t>
  </si>
  <si>
    <t>Sala 5: (abertura para nova janela - J13) - 0,60m(C)*1,00m(A)*0,28m(L)</t>
  </si>
  <si>
    <t>WC Feminino: [10,25m(C)*1,80m(A)] - [(descontos) 4,80m²]</t>
  </si>
  <si>
    <t>WC Masculino: [8,28m(C)*1,80m(A)] - [(descontos) 2,56m²]</t>
  </si>
  <si>
    <t>P4</t>
  </si>
  <si>
    <t>Sala 1: [9,95m(C)*4,01m(A)] - [(descontos) 3,36m²]</t>
  </si>
  <si>
    <t>Sala 2: [15,14m(C)*4,01m(A)] - [(descontos) 5,04m²]</t>
  </si>
  <si>
    <t>Sala dos professores: 2,99m(C)*4,01m(A)</t>
  </si>
  <si>
    <t>Sala 3: [(21,36m(C)*4,01m(A)] - [(descontos) 6,72m²]</t>
  </si>
  <si>
    <t>Sala 4: [(9,97m(C)*4,01m(A)] - [(descontos) 3,36m²]</t>
  </si>
  <si>
    <t>Sala 11:  [(10,62m(C)*3,23m(A)] - [(descontos) 3,36m²]</t>
  </si>
  <si>
    <t>Sala 12: [(10,75m(C)*3,23m(A)] - [(descontos) 3,36m²]</t>
  </si>
  <si>
    <t>Corredor 3 - 1,67m(L) - 3,04m(A)*2und(lados)</t>
  </si>
  <si>
    <t>Corredor 4 - 1,70m(L) - 2,96m(A)*2und(lados)</t>
  </si>
  <si>
    <t>Pátio Aberto 2 (do topo da mureta ao topo da laje do segundo andar) - 6,84m(A)</t>
  </si>
  <si>
    <t>J22*8und(Qtd)</t>
  </si>
  <si>
    <t xml:space="preserve">P16*6und(Qtd) </t>
  </si>
  <si>
    <t>P17</t>
  </si>
  <si>
    <t>P3*3und(Qtd)</t>
  </si>
  <si>
    <t>P6</t>
  </si>
  <si>
    <t>J11*2und(Qtd)</t>
  </si>
  <si>
    <t>J7*2und(Qtd)</t>
  </si>
  <si>
    <t>J17</t>
  </si>
  <si>
    <t>J13*2und(Qtd)</t>
  </si>
  <si>
    <t>J9</t>
  </si>
  <si>
    <t>P2*4und(Qtd)</t>
  </si>
  <si>
    <t>P19*2und(Qtd)</t>
  </si>
  <si>
    <t xml:space="preserve">P13 </t>
  </si>
  <si>
    <t>Telha zinco</t>
  </si>
  <si>
    <t>5.5</t>
  </si>
  <si>
    <t>Chapim de concreto aparente com acabamento desempenado, forma de compensado plastificado (madeirit), de 14x10 cm, fundido no local</t>
  </si>
  <si>
    <t xml:space="preserve">Telhado metálico: </t>
  </si>
  <si>
    <t>Pátio Aberto 2 - 1,50m(C)*5und(Qtd)</t>
  </si>
  <si>
    <t>Chapisco de argamassa de cimento e areia média ou grossa lavada, no traço 1:3, espessura 5 mm</t>
  </si>
  <si>
    <t>WC 4: [vista 1 - 6,40m(C)*1,97m(A)] + [vista 2 - 2,50m(C)*1,97m(A)] +  [vista 3 - 6,40m(C)*1,97m(A)] + [vista 4 - 2,50m(C)*1,97m(A)] - [desc. 5,38m²]</t>
  </si>
  <si>
    <t>WC 3: [vista 1 - 6,40m(C)*1,97m(A)] + [vista 2 - 3,73m(C)*1,97m(A)] + [vista 3 - 6,40m(C)*1,97m(A)] + [vista 4 - 5,17m(C)*1,97m(A)] - [desc. 7,69m²]</t>
  </si>
  <si>
    <t>Sala 1: [vista 1 - 5,95m(C)*1,80m(A)] + [vista 2 - 7,94m(C)*1,80m(A)] + [vista 3 - 5,95m(C)*1,80m(A)] + [vista 4 - 7,94m(C)*1,80m(A)] - [desc. 2,16m²]</t>
  </si>
  <si>
    <t>Sala 2: [vista 1 - 5,95m(C)*1,80m(A)] + [vista 2 - 7,94m(C)*1,80m(A)] + [vista 3 - 5,95m(C)*1,80m(A)] + [vista 4 - 7,94m(C)*1,80m(A)] - [desc. 2,16m²]</t>
  </si>
  <si>
    <t>Sala 3: [vista 1 - 5,95m(C)*1.80m(A)] + [vista 2 - 7,91m(C)*1,80m(A)] + [vista 3 - 5,95m(C)*1.80m(A)] + [vista 4 - 7,91m(C)*1,80m(A)] - [desc. 2,16m²]</t>
  </si>
  <si>
    <t>Sala 4: [vista 1 - 5,95m(C)*1.80m(A)] + [vista 2 - 7,91m(C)*1,80m(A)] + [vista 3 - 5,95m(C)*1.80m(A)] + [vista 4 - 7,91m(C)*1,80m(A)] - [desc. 2,16m²]</t>
  </si>
  <si>
    <t>Pátio aberto 2: 55,46m²*0,12m(A)</t>
  </si>
  <si>
    <t>Secretaria Ass. Social: [1,20m(C)*0,30m(A)] + [1,20m(C)*0,50m(A)]</t>
  </si>
  <si>
    <t>Adiministração 5: 0,90m(C)*0,15m(A)</t>
  </si>
  <si>
    <t>Secretaria Ass. Social: [1,20m(C)*0,30m(A)*2und(Qtd)] + [1,20m(C)*0,50m(A)]</t>
  </si>
  <si>
    <t>Adiministração 5: 0,90m(C)*0,15m(A)*2und(Qtd)</t>
  </si>
  <si>
    <t>Secretária Saúde: 1,20m(C)*0,50m(A)*2und(Qtd)</t>
  </si>
  <si>
    <t xml:space="preserve">Muro Frontal Área Permeável 1: 4,07m(C)*0,63m(A) </t>
  </si>
  <si>
    <t>Secretaria Ass. Social: [1,20m(C)*0,30m(A)*2lados(Qtd)] + [1,20m(C)*0,50m(A)]</t>
  </si>
  <si>
    <t>Adiministração 5: 0,90m(C)*0,15m(A)*2lados(Qtd)</t>
  </si>
  <si>
    <t>WC Masculino: [vista 1 - 6,40m(C)*1,50m(A)] + [vista 2 - 2,50m(C)*1,50m(A)] +  [vista 3 - 6,40m(C)*1,50m(A)] + [vista 4 - 2,50m(C)*1,50m(A)] - [desc. 1,50m²]</t>
  </si>
  <si>
    <t>WC Feminino: [vista 1 - 6,40m(C)*1,50m(A)] + [vista 2 - 3,73m(C)*1,50m(A)] + [vista 3 - 6,40m(C)*1,50m(A)] + [vista 4 - 5,17m(C)*1,50m(A)] - [desc. 1,50m²]</t>
  </si>
  <si>
    <t>Lab. Coleta: 3,97m(C)*1,50m(A)</t>
  </si>
  <si>
    <t>Análise: 2,58m(C)*1,50m(A)</t>
  </si>
  <si>
    <t>Corredor 2: [vista 1 - 2,13m(L)*1,90m(A) + 0,31m(L)*1,90m(A)] + [vista 2 - 0,28m(L)*1,90m(A) + 33,52m(L)*1,90m(A) + 0,28m(L)*1,90m(A)] + [vista 3 - 0,31m(L)*1,90m(A) + 2,13m(L)*1,90m(A)] + [vista 4 - 0,31m(L)*1,90m(A) + 3,00m(L)*0,65m(A) + 26,64m(L)*0,65m(A) + 0,28m(L)*1,90m(A)] - [desc. 20,19m²]</t>
  </si>
  <si>
    <t>Recepção: [vista 1 - 5,54m(L)*1,90m(A)] + [vista 2 - 2,11m(L)*1,90m(A)] + [vista 3 - 5,54m(C)*1,90m(A)] + [visa 4 - 2,11m(L)*1,90m(A)] - [desc. 10,07m²]</t>
  </si>
  <si>
    <t>WC feminino</t>
  </si>
  <si>
    <t>WC Maculino</t>
  </si>
  <si>
    <t>Admistração 2</t>
  </si>
  <si>
    <t>Admistração Setor Obras</t>
  </si>
  <si>
    <t>Wc Feminino</t>
  </si>
  <si>
    <t>Wc Masculino</t>
  </si>
  <si>
    <t>Passarela: 5,02m(C)*1,3,57m(L)</t>
  </si>
  <si>
    <t>Vigilância Sanitária</t>
  </si>
  <si>
    <t>Circulação 5</t>
  </si>
  <si>
    <t>Corredor 4</t>
  </si>
  <si>
    <t>Administração Setor Obras</t>
  </si>
  <si>
    <t>Corredor 3</t>
  </si>
  <si>
    <t>Hall</t>
  </si>
  <si>
    <t>Adm. Setor Obras: [5,99m(C)*3,23m(A)*2lados(Qtd)] + [6,60m(C)*3,23m(A)] - [desc. 14,51m²]</t>
  </si>
  <si>
    <t>Engenharia: [6,70m(C)*3,23m(A)*2lados(Qtd)] + [6,60m(C)*3,23m(A)] - [desc. 11,94m²]</t>
  </si>
  <si>
    <t xml:space="preserve">Circulação 5: [6,72m(C)*3,23m(A)] + [5,16m(C)*3,23m(A)] + [5,52m(C)*1,18m(A)] + [1,20m(C)*3,23m(A)] - [desc. 6,25m²] </t>
  </si>
  <si>
    <t>Escada</t>
  </si>
  <si>
    <t>Corredor 4: [18,28(C)*3,23m(A)] + [0,20m(C)*3,23m(A)*2lados(Qtd)] + [0,44m(C)*3,23m(A)*2lados(Qtd)] + [21,16m(C)*3,23m(A)] + [1,78m(C)*1,17m(A)*2lados(Qtd)] + [43,13m(C)*1,17m(A)] - [desc. 31,32m²]</t>
  </si>
  <si>
    <t>Conselho: [3,89m(C)*4,00m(A)*2lados(Qtd)] + [5,95m(C)*4,00m(A)] - [desc. 5,32m²]</t>
  </si>
  <si>
    <t>Almoxarifado 1: [4,00m(C)*4,00m(A)] + [4,42m(C)*4,00m(A)] - [desc. 5,32m²]</t>
  </si>
  <si>
    <t>Circulação 1: [1,47m(C)*4,00m(A)] + [4,00m(C)*4,00m(A)] - [desc. 2,94m²]</t>
  </si>
  <si>
    <t>Administração 1: [2,95m(C)*4,00m(A)] + [3,89m(C)*4,00m(A)]</t>
  </si>
  <si>
    <t>Bazar de Roupas: [3,89m(C)*4,00m(A)] + [2,95m(C)*4,00m(A)] - [desc. 5,32m²]</t>
  </si>
  <si>
    <t>Despensa: [4,00m(C)*4,00m(A)] + [2,95m(C)*4,00m(A)] - [desc. 5,32m²]</t>
  </si>
  <si>
    <t>Circulação 2: [2,95m(C)*4,00m(A)] + [4,00m(C)*4,00m(A)] - [desc. 2,94m²]</t>
  </si>
  <si>
    <t>Administração 5: [3,03m(C)*4,00m(A)*2lados(Qtd)] + [3,62m(C)*4,00m(A)*2lados(Qtd)] - [desc. 3,55m²]</t>
  </si>
  <si>
    <t>Prime: [3,03m(C)*4,00m(A)*2lados(Qtd)] + [3,24m(C)*4,00m(A)*2lados(Qtd)] - [desc. 7,34m²]</t>
  </si>
  <si>
    <t>Hall: [2,11m(C)*4,00m(A)] + [1,63m(C)*4,00m(A)*2lados(Qtd)] + [2,11m(C)*0,32m(A)] - [desc. 10,18m²]</t>
  </si>
  <si>
    <t>Corredor 3: [43,06m(C)*3,23m(A)] + [1,82m(C)*3,23m(A)] + [43,06m(C)*3,23m(A)] - [desc. 182,49m²]</t>
  </si>
  <si>
    <t>Corredor 2: [vista 1 - 2,13m(C)*0,96m(A)] + [vista 2 - 33,52m(C)*0,96m(A)] + [vista 3 - 2,13m(C)*0,96m(A)] + [vista 4 - 33,52m(C)*0,96m(A)] + [marco das portas - 17,24m²] + [pilares - 142,58m²]  - [desc. 6,05m²]</t>
  </si>
  <si>
    <t xml:space="preserve">Laboratório Coleta: [4,08m(C)*3,23m(A)] + [3,97m(C)*3,23m(A)] - [desc.2,57m²] </t>
  </si>
  <si>
    <t>Análise: [2,58m(C)*3,23m(A)] + [4,08m(C)*3,23m(A)] - [desc. 2,57m²]</t>
  </si>
  <si>
    <t>Vigilância Sanitária: [4,08m(C)*3,23m(A)*2lados(Qtd)] + [6,60m(C)*3,23m(A)] - [desc. 7,42m²]</t>
  </si>
  <si>
    <t>Circulação 6: [4,14m(C)*3,23m(A)] + [1,20m(C)*3,23m(A)] - [desc. 4,85m²]</t>
  </si>
  <si>
    <t xml:space="preserve">Epidemiológica: [4,14m(C)*3,23m(A)] + [5,35m(C)*3,23m(A)] - [desc. 2,57m²] </t>
  </si>
  <si>
    <t>Ambiental: [6,60m(C)*3,23m(A)] + [4,14m(C)*3,23m(A)*2lados(Qtd)] - [desc. 5,13m²]</t>
  </si>
  <si>
    <t>Secretaria Ass. Social: [4,04m(C)*2,79m(A)*2lados(Qtd)] + [3,62m(C)*2,79m(A)*2lados(Qtd)] - [desc. 5,10m²]</t>
  </si>
  <si>
    <t>Secretaria Saúde: [4,04m(C)*2,79m(A)*2lados(Qtd)] + [3,62m(C)*2,79m(A)*2lados(Qtd)] - [desc. 5,10m²]</t>
  </si>
  <si>
    <t>Almoxarifado 2: [5,95m(C)*4,00m(A)] + [3,84m(C)*4,00m(A)*2lados(Qtd)] - [desc. 5,32m²]</t>
  </si>
  <si>
    <t>Administração 2: [4,40m(C)*4,00m(A)] + [4,02m(C)*4,00m(A)] - [desc. 5,32m²]</t>
  </si>
  <si>
    <t>Circulação 4: [1,50m(C)*4,00m(A)] + [4,02m(C)*4,00m(A)] - [desc. 2,94m²]</t>
  </si>
  <si>
    <t>Psicologia: [2,32m(C)*4,00m(A)] + [3,86m(C)*4,00m(A)] - [desc. 5,32m²]</t>
  </si>
  <si>
    <t>Assistência: [2,32m(C)*4,00m(A)] + [4,00m(C)*4,00m(A)] - [desc. 5,32m²]</t>
  </si>
  <si>
    <t>Atendimento 1: [2,32m(C)*4,00m(A)] + [3,15m(C)*4,00m(A)]</t>
  </si>
  <si>
    <t>Atendimento 2: [3,15m(C)*4,00m(A)]</t>
  </si>
  <si>
    <t>Circulação 3: [1,20m(C)*4,00m(A)] + [3,57m(C)*4,00m(A)] + [1,50m(C)*4,00m(A)] - [desc. 2,94m²]</t>
  </si>
  <si>
    <t>Administração 3: [3,30m(C)*4,00m(A)*2lados(Qtd)] + [2,99m(C)*4,00m(A)] - [desc. 7,35m²]</t>
  </si>
  <si>
    <t>Administração 4: [3,65m(C)*4,00m(A)*2lados(Qtd)] + [2,99m(C)*4,00m(A)] - [desc. 3,80m²]</t>
  </si>
  <si>
    <t>Recepção: [vista 1 - 5,54m(C)*4,00m(A)] + [vista 2 - 2,11m(C)*4,00m(A)] + [vista 3 - 5,54m(C)*4,00m(A)] + [vista 4 - 2,11m(C)*4,00m(A)] - [desc. 14,37m²]</t>
  </si>
  <si>
    <t>WC Feminino: [vista 1 - 6,40m(C)*1,56m(A)] + [vista 2 - 3,73m(C)*1,56m(A)] + [vista 3 - 6,40m(C)*1,56m(A)] + [vista 4 - 5,17m(C)*1,56m(A)] - [desc. 5,40m²]</t>
  </si>
  <si>
    <t>WC Masculino: [vista 1 - 6,40m(C)*1,56m(A)] + [vista 2 - 2,50m(C)*1,56m(A)] + [vista 3 - 6,40m(C)*1,56m(A)] + [vista 4 - 2,50m(C)*1,56m(A)] - [desc. 4,73m²]</t>
  </si>
  <si>
    <t>Sala 5: [vista 1 - 4,04m(C)*1,50m(A)] + [ vista 2 - 3,62m(C)*1,50m(A)] + [vista 3 - 4,04m(C)*1,50m(A)] + [ vista 4 - 3,62m(C)*1,50m(A)] - [desc. 1,80m²]</t>
  </si>
  <si>
    <t>Fachada</t>
  </si>
  <si>
    <t xml:space="preserve">Recepção </t>
  </si>
  <si>
    <t xml:space="preserve">Admistração 5 </t>
  </si>
  <si>
    <t>Lado externo Sec. Saúde</t>
  </si>
  <si>
    <t>Lado externo Sec. Ass. Social</t>
  </si>
  <si>
    <t>Lado externo WC 1</t>
  </si>
  <si>
    <t>Área Permeável 1</t>
  </si>
  <si>
    <t>Fachada: [muro (área permeável 1) - 4,07m(C)*2,35m(A)] + [vão 1 - 16,44m(C)*5,40m(A)] + [vão central - 9,25m(C)*5,60m(A)] + [vão 2 - 16,38m(C)*5,40m(A)] + [Lateral do vão central - 1,05m(C)*5,60m(A)*2lados(Qtd)] - [desc. 56,46m²]</t>
  </si>
  <si>
    <t>Elevação 02: [salas - 43,71m(C)*7,20m(A)] + [conzinha - 10,99m(C)*2,50m(A)] + [palco - 8,30m(C)*2,50m(A)] + [muro - 65,62(C)*1,80m(A)] + [sala 8 - 17,37m²] - [desc. 71,55m²]</t>
  </si>
  <si>
    <t>Elevação 01: [salas e biblioteca - 70,21m²] + [muro - 3,21m(C)*1,75m(A)] - [desc. 18,14m²]</t>
  </si>
  <si>
    <t xml:space="preserve">Elevação 03: [salas - 6,69m(C)*8,74m(A) + 2,39m²] + [sala 8 e prod. químicos - 13,27m(C)*2,75m(A)  - [desc. 15,83m²] </t>
  </si>
  <si>
    <t>Palco (Pátio Coberto)</t>
  </si>
  <si>
    <t>Cozinha, Cantina e Depósito 1 (Pátio Coberto)</t>
  </si>
  <si>
    <t>Sala 8 e Produtos Químicos (Pátio Coberto)</t>
  </si>
  <si>
    <t>Telhado metálico</t>
  </si>
  <si>
    <t>Retirada de revestimento antigo em reboco</t>
  </si>
  <si>
    <t>1.1.15</t>
  </si>
  <si>
    <t>7.1</t>
  </si>
  <si>
    <t>9.1.1</t>
  </si>
  <si>
    <t>9.1.2</t>
  </si>
  <si>
    <t>10.1.3</t>
  </si>
  <si>
    <t>10.2</t>
  </si>
  <si>
    <t>10.2.1</t>
  </si>
  <si>
    <t>10.2.2</t>
  </si>
  <si>
    <t>12.1.3</t>
  </si>
  <si>
    <t>12.2.1</t>
  </si>
  <si>
    <t>14.3</t>
  </si>
  <si>
    <t>Forro em réguas de PVC, frisado, para ambientes residenciais, inclusive estrutura de fixação</t>
  </si>
  <si>
    <t>8.2</t>
  </si>
  <si>
    <t>8.3</t>
  </si>
  <si>
    <t>8.4</t>
  </si>
  <si>
    <t>8.5</t>
  </si>
  <si>
    <t>10.1.4</t>
  </si>
  <si>
    <t>10.1.5</t>
  </si>
  <si>
    <t>10.1.6</t>
  </si>
  <si>
    <t>11.2.3</t>
  </si>
  <si>
    <t>11.2.4</t>
  </si>
  <si>
    <t>12.1.5</t>
  </si>
  <si>
    <t>12.1.6</t>
  </si>
  <si>
    <t>12.1.7</t>
  </si>
  <si>
    <t>12.1.8</t>
  </si>
  <si>
    <t>12.3</t>
  </si>
  <si>
    <t>12.3.1</t>
  </si>
  <si>
    <t>12.3.2</t>
  </si>
  <si>
    <t>13.2.2</t>
  </si>
  <si>
    <t>13.2.3</t>
  </si>
  <si>
    <t>15.1.1</t>
  </si>
  <si>
    <t>15.2.1</t>
  </si>
  <si>
    <t>15.2.2</t>
  </si>
  <si>
    <t>15.2.3</t>
  </si>
  <si>
    <t>15.3.1</t>
  </si>
  <si>
    <t>WC 4: [vista 1 - 6,40m(C)*0,47m(A)] + [vista 2 - 2,50m(C)*0,47m(A)] +  [vista 3 - 6,40m(C)*0,47m(A)] + [vista 4 - 2,50m(C)*0,47m(A)] - [desc. 5,38m²]</t>
  </si>
  <si>
    <t>WC 3: [vista 1 - 6,40m(C)*0,47m(A)] + [vista 2 - 3,73m(C)*0,47m(A)] + [vista 3 - 6,40m(C)*0,47m(A)] + [vista 4 - 5,17m(C)*0,47m(A)] - [desc. 7,69m²]</t>
  </si>
  <si>
    <t>EXECUÇÃO DA OBRA DE REFORMA DO ANTIGO PRÉDIO DA "E.M.E.F. LUÍZA GRIMALDI"</t>
  </si>
  <si>
    <t>Obra: Execução da obra de reforma do antigo prédio da "E.M.E.F Luíza Grimaldi"</t>
  </si>
  <si>
    <t>ORÇAMENTISTA: CATARINA DEMONER DINIZ - CREA: ES-0048118/D</t>
  </si>
  <si>
    <t>Local: Centro, Itarana/ES.</t>
  </si>
  <si>
    <t>PAISAGISMO</t>
  </si>
  <si>
    <t>Sala 5: (caixa para ar condicionado) - 0,70m(C)*0,45m(A)*0,30m(L)</t>
  </si>
  <si>
    <t>Sala 2: (caixa para ar condicionado) - 0,70m(C)*0,45m(A)*0,31m(L)</t>
  </si>
  <si>
    <t>Sala 1: (caixa para ar condicionado) - 0,70m(C)*0,45m(A)*0,13m(L)</t>
  </si>
  <si>
    <t>4.3</t>
  </si>
  <si>
    <t>J22*8und(Qtd) - (lado interno)</t>
  </si>
  <si>
    <t>P16*6und(Qtd)*2lados</t>
  </si>
  <si>
    <t>P3*3und(Qtd)*2lados</t>
  </si>
  <si>
    <t>P6*2lados</t>
  </si>
  <si>
    <t>P17*2lados</t>
  </si>
  <si>
    <t>15.1.2</t>
  </si>
  <si>
    <t>Pintura com tinta esmalte sintético, marcas de referência Suvinil, Coral ou Metalatex, inclusive fundo branco nivelador, em madeira, a duas demãos</t>
  </si>
  <si>
    <t>J22*8und - (fachada)</t>
  </si>
  <si>
    <t>2º andar (fachada): [28,80m(C)*2,98m(A)] - [desc. 48,56m²]</t>
  </si>
  <si>
    <t>Tubo de PVC rígido soldável marrom, diâm. 40mm (11/4"), inclusive conexões</t>
  </si>
  <si>
    <t>Laboratório de Coleta</t>
  </si>
  <si>
    <r>
      <t>LOCAL:</t>
    </r>
    <r>
      <rPr>
        <sz val="11"/>
        <color theme="1"/>
        <rFont val="Calibri"/>
        <family val="2"/>
        <scheme val="minor"/>
      </rPr>
      <t xml:space="preserve"> Centro - Itarana/ES</t>
    </r>
  </si>
  <si>
    <r>
      <rPr>
        <b/>
        <sz val="11"/>
        <color theme="1"/>
        <rFont val="Calibri"/>
        <family val="2"/>
        <scheme val="minor"/>
      </rPr>
      <t>Ref. de Preços:</t>
    </r>
    <r>
      <rPr>
        <sz val="11"/>
        <color theme="1"/>
        <rFont val="Calibri"/>
        <family val="2"/>
        <scheme val="minor"/>
      </rPr>
      <t xml:space="preserve"> IOPES/SINAPI</t>
    </r>
  </si>
  <si>
    <r>
      <t>Local:</t>
    </r>
    <r>
      <rPr>
        <sz val="11"/>
        <color theme="1"/>
        <rFont val="Calibri"/>
        <family val="2"/>
        <scheme val="minor"/>
      </rPr>
      <t xml:space="preserve"> Centro - Itarana/ES.</t>
    </r>
  </si>
  <si>
    <r>
      <rPr>
        <b/>
        <sz val="11"/>
        <color theme="1"/>
        <rFont val="Calibri"/>
        <family val="2"/>
        <scheme val="minor"/>
      </rPr>
      <t>Data-base:</t>
    </r>
    <r>
      <rPr>
        <sz val="11"/>
        <color theme="1"/>
        <rFont val="Calibri"/>
        <family val="2"/>
        <scheme val="minor"/>
      </rPr>
      <t xml:space="preserve"> Setembro/2018</t>
    </r>
  </si>
  <si>
    <r>
      <t xml:space="preserve">Contratante: </t>
    </r>
    <r>
      <rPr>
        <sz val="11"/>
        <color theme="1"/>
        <rFont val="Calibri"/>
        <family val="2"/>
        <scheme val="minor"/>
      </rPr>
      <t>Prefeitura Municipal de Itarana</t>
    </r>
  </si>
  <si>
    <r>
      <t xml:space="preserve">BDI: </t>
    </r>
    <r>
      <rPr>
        <sz val="11"/>
        <color theme="1"/>
        <rFont val="Calibri"/>
        <family val="2"/>
        <scheme val="minor"/>
      </rPr>
      <t>26,54%</t>
    </r>
  </si>
  <si>
    <r>
      <rPr>
        <b/>
        <sz val="11"/>
        <color theme="1"/>
        <rFont val="Calibri"/>
        <family val="2"/>
        <scheme val="minor"/>
      </rPr>
      <t>Leis Sociais:</t>
    </r>
    <r>
      <rPr>
        <sz val="11"/>
        <color theme="1"/>
        <rFont val="Calibri"/>
        <family val="2"/>
        <scheme val="minor"/>
      </rPr>
      <t xml:space="preserve"> 128,33%</t>
    </r>
  </si>
  <si>
    <r>
      <t xml:space="preserve">Remoção de forros de </t>
    </r>
    <r>
      <rPr>
        <i/>
        <sz val="11"/>
        <rFont val="Calibri"/>
        <family val="2"/>
        <scheme val="minor"/>
      </rPr>
      <t>drywall</t>
    </r>
    <r>
      <rPr>
        <sz val="11"/>
        <rFont val="Calibri"/>
        <family val="2"/>
        <scheme val="minor"/>
      </rPr>
      <t xml:space="preserve">, PVC e fibromineral, de forma manual, sem reaproveitamento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</si>
</sst>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R$ &quot;#,##0.00"/>
    <numFmt numFmtId="165" formatCode="_(* #,##0.00_);_(* \(#,##0.00\);_(* &quot;-&quot;??_);_(@_)"/>
    <numFmt numFmtId="166" formatCode="_(&quot;R$ &quot;* #,##0.00_);_(&quot;R$ &quot;* \(#,##0.00\);_(&quot;R$ &quot;* &quot;-&quot;??_);_(@_)"/>
    <numFmt numFmtId="167" formatCode="mmm/yyyy"/>
    <numFmt numFmtId="168" formatCode="_-* #,##0.000_-;\-* #,##0.000_-;_-* &quot;-&quot;??_-;_-@_-"/>
    <numFmt numFmtId="169" formatCode="[$-416]d\-mmm;@"/>
    <numFmt numFmtId="170" formatCode="_-* #,##0.0000_-;\-* #,##0.0000_-;_-* &quot;-&quot;??_-;_-@_-"/>
    <numFmt numFmtId="171" formatCode="0.000"/>
    <numFmt numFmtId="172" formatCode="0.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1"/>
      </bottom>
      <diagonal/>
    </border>
    <border>
      <left/>
      <right/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1"/>
      </bottom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166" fontId="8" fillId="0" borderId="0" applyFont="0" applyFill="0" applyBorder="0" applyAlignment="0" applyProtection="0"/>
    <xf numFmtId="0" fontId="2" fillId="0" borderId="0"/>
  </cellStyleXfs>
  <cellXfs count="728">
    <xf numFmtId="0" fontId="0" fillId="0" borderId="0" xfId="0"/>
    <xf numFmtId="0" fontId="1" fillId="0" borderId="1" xfId="0" applyFont="1" applyBorder="1" applyAlignment="1">
      <alignment horizontal="center"/>
    </xf>
    <xf numFmtId="4" fontId="0" fillId="0" borderId="0" xfId="0" applyNumberForma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0" fillId="4" borderId="0" xfId="0" applyFill="1"/>
    <xf numFmtId="0" fontId="7" fillId="0" borderId="0" xfId="4"/>
    <xf numFmtId="1" fontId="8" fillId="4" borderId="0" xfId="3" applyNumberFormat="1" applyFont="1" applyFill="1" applyAlignment="1">
      <alignment horizontal="center"/>
    </xf>
    <xf numFmtId="0" fontId="8" fillId="4" borderId="0" xfId="3" applyFont="1" applyFill="1" applyAlignment="1">
      <alignment horizontal="center"/>
    </xf>
    <xf numFmtId="0" fontId="8" fillId="4" borderId="0" xfId="3" applyFont="1" applyFill="1"/>
    <xf numFmtId="2" fontId="8" fillId="4" borderId="0" xfId="3" applyNumberFormat="1" applyFont="1" applyFill="1" applyAlignment="1">
      <alignment horizontal="center"/>
    </xf>
    <xf numFmtId="164" fontId="8" fillId="4" borderId="0" xfId="3" applyNumberFormat="1" applyFont="1" applyFill="1" applyAlignment="1"/>
    <xf numFmtId="1" fontId="9" fillId="4" borderId="6" xfId="3" applyNumberFormat="1" applyFont="1" applyFill="1" applyBorder="1" applyAlignment="1">
      <alignment vertical="center"/>
    </xf>
    <xf numFmtId="4" fontId="0" fillId="3" borderId="1" xfId="0" applyNumberFormat="1" applyFont="1" applyFill="1" applyBorder="1"/>
    <xf numFmtId="9" fontId="0" fillId="3" borderId="1" xfId="1" applyFont="1" applyFill="1" applyBorder="1"/>
    <xf numFmtId="9" fontId="0" fillId="3" borderId="1" xfId="0" applyNumberFormat="1" applyFont="1" applyFill="1" applyBorder="1"/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0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7" borderId="19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left" vertical="center" wrapText="1"/>
    </xf>
    <xf numFmtId="0" fontId="11" fillId="7" borderId="20" xfId="0" applyFont="1" applyFill="1" applyBorder="1" applyAlignment="1">
      <alignment horizontal="center" vertical="center"/>
    </xf>
    <xf numFmtId="4" fontId="11" fillId="7" borderId="20" xfId="0" applyNumberFormat="1" applyFont="1" applyFill="1" applyBorder="1" applyAlignment="1">
      <alignment horizontal="center" vertical="center"/>
    </xf>
    <xf numFmtId="4" fontId="11" fillId="7" borderId="21" xfId="0" applyNumberFormat="1" applyFont="1" applyFill="1" applyBorder="1" applyAlignment="1">
      <alignment horizontal="center" vertical="center"/>
    </xf>
    <xf numFmtId="4" fontId="11" fillId="7" borderId="1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" fillId="6" borderId="0" xfId="0" applyFont="1" applyFill="1"/>
    <xf numFmtId="0" fontId="0" fillId="4" borderId="0" xfId="0" applyFont="1" applyFill="1"/>
    <xf numFmtId="168" fontId="11" fillId="4" borderId="1" xfId="2" applyNumberFormat="1" applyFont="1" applyFill="1" applyBorder="1" applyAlignment="1">
      <alignment horizontal="center" vertical="center" wrapText="1"/>
    </xf>
    <xf numFmtId="1" fontId="11" fillId="4" borderId="1" xfId="3" applyNumberFormat="1" applyFont="1" applyFill="1" applyBorder="1" applyAlignment="1">
      <alignment horizontal="center" vertical="center" wrapText="1"/>
    </xf>
    <xf numFmtId="0" fontId="11" fillId="7" borderId="26" xfId="0" applyFont="1" applyFill="1" applyBorder="1"/>
    <xf numFmtId="0" fontId="11" fillId="7" borderId="26" xfId="0" applyFont="1" applyFill="1" applyBorder="1" applyAlignment="1">
      <alignment horizontal="center"/>
    </xf>
    <xf numFmtId="4" fontId="11" fillId="7" borderId="26" xfId="0" applyNumberFormat="1" applyFont="1" applyFill="1" applyBorder="1" applyAlignment="1">
      <alignment horizontal="center"/>
    </xf>
    <xf numFmtId="0" fontId="17" fillId="0" borderId="34" xfId="0" applyFont="1" applyBorder="1"/>
    <xf numFmtId="0" fontId="17" fillId="0" borderId="35" xfId="0" applyFont="1" applyBorder="1"/>
    <xf numFmtId="0" fontId="11" fillId="7" borderId="26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center"/>
    </xf>
    <xf numFmtId="0" fontId="11" fillId="2" borderId="28" xfId="0" applyFont="1" applyFill="1" applyBorder="1"/>
    <xf numFmtId="0" fontId="11" fillId="2" borderId="28" xfId="0" applyFont="1" applyFill="1" applyBorder="1" applyAlignment="1">
      <alignment horizontal="center"/>
    </xf>
    <xf numFmtId="4" fontId="11" fillId="2" borderId="28" xfId="0" applyNumberFormat="1" applyFont="1" applyFill="1" applyBorder="1" applyAlignment="1">
      <alignment horizontal="center"/>
    </xf>
    <xf numFmtId="4" fontId="11" fillId="2" borderId="36" xfId="0" applyNumberFormat="1" applyFont="1" applyFill="1" applyBorder="1" applyAlignment="1">
      <alignment horizontal="center"/>
    </xf>
    <xf numFmtId="0" fontId="11" fillId="7" borderId="26" xfId="0" applyFont="1" applyFill="1" applyBorder="1" applyAlignment="1">
      <alignment wrapText="1"/>
    </xf>
    <xf numFmtId="0" fontId="11" fillId="2" borderId="27" xfId="0" applyFont="1" applyFill="1" applyBorder="1" applyAlignment="1">
      <alignment horizontal="center"/>
    </xf>
    <xf numFmtId="4" fontId="11" fillId="2" borderId="27" xfId="0" applyNumberFormat="1" applyFont="1" applyFill="1" applyBorder="1" applyAlignment="1">
      <alignment horizontal="center"/>
    </xf>
    <xf numFmtId="4" fontId="11" fillId="2" borderId="32" xfId="0" applyNumberFormat="1" applyFont="1" applyFill="1" applyBorder="1" applyAlignment="1">
      <alignment horizontal="center"/>
    </xf>
    <xf numFmtId="0" fontId="11" fillId="2" borderId="27" xfId="0" applyFont="1" applyFill="1" applyBorder="1"/>
    <xf numFmtId="0" fontId="11" fillId="7" borderId="26" xfId="0" applyFont="1" applyFill="1" applyBorder="1" applyAlignment="1">
      <alignment horizontal="left" vertical="center" wrapText="1"/>
    </xf>
    <xf numFmtId="0" fontId="11" fillId="7" borderId="15" xfId="0" applyFont="1" applyFill="1" applyBorder="1" applyAlignment="1">
      <alignment horizontal="center" vertical="center"/>
    </xf>
    <xf numFmtId="0" fontId="11" fillId="7" borderId="23" xfId="0" applyFont="1" applyFill="1" applyBorder="1"/>
    <xf numFmtId="2" fontId="11" fillId="7" borderId="30" xfId="0" applyNumberFormat="1" applyFont="1" applyFill="1" applyBorder="1" applyAlignment="1">
      <alignment horizontal="center" vertical="center"/>
    </xf>
    <xf numFmtId="0" fontId="11" fillId="0" borderId="3" xfId="0" applyFont="1" applyBorder="1"/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 vertical="center"/>
    </xf>
    <xf numFmtId="1" fontId="9" fillId="7" borderId="5" xfId="3" applyNumberFormat="1" applyFont="1" applyFill="1" applyBorder="1" applyAlignment="1">
      <alignment horizontal="left" vertical="center"/>
    </xf>
    <xf numFmtId="0" fontId="19" fillId="7" borderId="6" xfId="3" applyFont="1" applyFill="1" applyBorder="1" applyAlignment="1">
      <alignment vertical="top"/>
    </xf>
    <xf numFmtId="1" fontId="9" fillId="3" borderId="1" xfId="3" applyNumberFormat="1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2" fontId="9" fillId="3" borderId="1" xfId="3" applyNumberFormat="1" applyFont="1" applyFill="1" applyBorder="1" applyAlignment="1">
      <alignment horizontal="center" vertical="center" wrapText="1"/>
    </xf>
    <xf numFmtId="0" fontId="12" fillId="3" borderId="1" xfId="4" applyFont="1" applyFill="1" applyBorder="1" applyAlignment="1">
      <alignment horizontal="center" vertical="center" wrapText="1"/>
    </xf>
    <xf numFmtId="1" fontId="9" fillId="4" borderId="5" xfId="3" applyNumberFormat="1" applyFont="1" applyFill="1" applyBorder="1" applyAlignment="1">
      <alignment horizontal="center" vertical="center" wrapText="1"/>
    </xf>
    <xf numFmtId="168" fontId="12" fillId="0" borderId="1" xfId="2" applyNumberFormat="1" applyFont="1" applyBorder="1" applyAlignment="1">
      <alignment horizontal="center" vertical="center"/>
    </xf>
    <xf numFmtId="43" fontId="12" fillId="0" borderId="1" xfId="4" applyNumberFormat="1" applyFont="1" applyBorder="1" applyAlignment="1">
      <alignment horizontal="center" vertical="center"/>
    </xf>
    <xf numFmtId="43" fontId="11" fillId="4" borderId="1" xfId="2" applyFont="1" applyFill="1" applyBorder="1" applyAlignment="1">
      <alignment horizontal="right" vertical="center" wrapText="1"/>
    </xf>
    <xf numFmtId="43" fontId="11" fillId="4" borderId="1" xfId="2" applyFont="1" applyFill="1" applyBorder="1" applyAlignment="1">
      <alignment vertical="center" wrapText="1"/>
    </xf>
    <xf numFmtId="168" fontId="12" fillId="0" borderId="1" xfId="2" applyNumberFormat="1" applyFont="1" applyBorder="1" applyAlignment="1">
      <alignment vertical="center"/>
    </xf>
    <xf numFmtId="43" fontId="12" fillId="0" borderId="1" xfId="4" applyNumberFormat="1" applyFont="1" applyBorder="1"/>
    <xf numFmtId="1" fontId="9" fillId="4" borderId="0" xfId="3" applyNumberFormat="1" applyFont="1" applyFill="1" applyAlignment="1">
      <alignment horizontal="center"/>
    </xf>
    <xf numFmtId="0" fontId="9" fillId="4" borderId="0" xfId="3" applyFont="1" applyFill="1" applyAlignment="1">
      <alignment horizontal="center"/>
    </xf>
    <xf numFmtId="0" fontId="9" fillId="4" borderId="0" xfId="3" applyFont="1" applyFill="1"/>
    <xf numFmtId="2" fontId="9" fillId="4" borderId="0" xfId="3" applyNumberFormat="1" applyFont="1" applyFill="1" applyAlignment="1">
      <alignment horizontal="center"/>
    </xf>
    <xf numFmtId="164" fontId="9" fillId="4" borderId="0" xfId="3" applyNumberFormat="1" applyFont="1" applyFill="1" applyAlignment="1"/>
    <xf numFmtId="0" fontId="12" fillId="0" borderId="9" xfId="4" applyFont="1" applyBorder="1"/>
    <xf numFmtId="0" fontId="12" fillId="0" borderId="10" xfId="4" applyFont="1" applyBorder="1"/>
    <xf numFmtId="1" fontId="9" fillId="4" borderId="1" xfId="3" applyNumberFormat="1" applyFont="1" applyFill="1" applyBorder="1" applyAlignment="1">
      <alignment horizontal="center" vertical="center" wrapText="1"/>
    </xf>
    <xf numFmtId="170" fontId="11" fillId="4" borderId="1" xfId="2" applyNumberFormat="1" applyFont="1" applyFill="1" applyBorder="1" applyAlignment="1">
      <alignment horizontal="right" vertical="center" wrapText="1"/>
    </xf>
    <xf numFmtId="0" fontId="9" fillId="4" borderId="5" xfId="3" applyFont="1" applyFill="1" applyBorder="1" applyAlignment="1">
      <alignment horizontal="center" vertical="center" wrapText="1"/>
    </xf>
    <xf numFmtId="2" fontId="9" fillId="4" borderId="1" xfId="3" applyNumberFormat="1" applyFont="1" applyFill="1" applyBorder="1" applyAlignment="1">
      <alignment horizontal="right" vertical="center" wrapText="1"/>
    </xf>
    <xf numFmtId="0" fontId="9" fillId="4" borderId="1" xfId="3" applyFont="1" applyFill="1" applyBorder="1" applyAlignment="1">
      <alignment horizontal="right" vertical="center" wrapText="1"/>
    </xf>
    <xf numFmtId="171" fontId="9" fillId="4" borderId="1" xfId="3" applyNumberFormat="1" applyFont="1" applyFill="1" applyBorder="1" applyAlignment="1">
      <alignment horizontal="right" vertical="center" wrapText="1"/>
    </xf>
    <xf numFmtId="0" fontId="19" fillId="4" borderId="5" xfId="3" applyFont="1" applyFill="1" applyBorder="1" applyAlignment="1">
      <alignment horizontal="right" vertical="center"/>
    </xf>
    <xf numFmtId="0" fontId="9" fillId="4" borderId="6" xfId="3" applyFont="1" applyFill="1" applyBorder="1" applyAlignment="1">
      <alignment horizontal="right" vertical="center"/>
    </xf>
    <xf numFmtId="43" fontId="12" fillId="0" borderId="7" xfId="4" applyNumberFormat="1" applyFont="1" applyBorder="1" applyAlignment="1">
      <alignment horizontal="center" vertical="center"/>
    </xf>
    <xf numFmtId="0" fontId="9" fillId="4" borderId="1" xfId="3" applyFont="1" applyFill="1" applyBorder="1" applyAlignment="1">
      <alignment horizontal="center"/>
    </xf>
    <xf numFmtId="2" fontId="9" fillId="4" borderId="1" xfId="3" applyNumberFormat="1" applyFont="1" applyFill="1" applyBorder="1" applyAlignment="1">
      <alignment horizontal="right" vertical="center"/>
    </xf>
    <xf numFmtId="2" fontId="12" fillId="0" borderId="1" xfId="4" applyNumberFormat="1" applyFont="1" applyBorder="1" applyAlignment="1">
      <alignment horizontal="right" vertical="center"/>
    </xf>
    <xf numFmtId="43" fontId="12" fillId="0" borderId="1" xfId="4" applyNumberFormat="1" applyFont="1" applyBorder="1" applyAlignment="1">
      <alignment horizontal="right" vertical="center"/>
    </xf>
    <xf numFmtId="170" fontId="9" fillId="4" borderId="1" xfId="2" applyNumberFormat="1" applyFont="1" applyFill="1" applyBorder="1" applyAlignment="1">
      <alignment horizontal="right" vertical="center" wrapText="1"/>
    </xf>
    <xf numFmtId="171" fontId="9" fillId="4" borderId="1" xfId="3" applyNumberFormat="1" applyFont="1" applyFill="1" applyBorder="1" applyAlignment="1">
      <alignment horizontal="right" vertical="center"/>
    </xf>
    <xf numFmtId="172" fontId="9" fillId="4" borderId="1" xfId="3" applyNumberFormat="1" applyFont="1" applyFill="1" applyBorder="1" applyAlignment="1">
      <alignment horizontal="right" vertical="center"/>
    </xf>
    <xf numFmtId="0" fontId="11" fillId="7" borderId="26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horizontal="center"/>
    </xf>
    <xf numFmtId="4" fontId="11" fillId="4" borderId="15" xfId="0" applyNumberFormat="1" applyFont="1" applyFill="1" applyBorder="1" applyAlignment="1">
      <alignment horizontal="center"/>
    </xf>
    <xf numFmtId="0" fontId="17" fillId="4" borderId="17" xfId="0" applyFont="1" applyFill="1" applyBorder="1"/>
    <xf numFmtId="0" fontId="11" fillId="7" borderId="26" xfId="0" applyFont="1" applyFill="1" applyBorder="1" applyAlignment="1">
      <alignment horizontal="center" vertical="center" wrapText="1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center" vertical="center"/>
    </xf>
    <xf numFmtId="4" fontId="11" fillId="2" borderId="27" xfId="0" applyNumberFormat="1" applyFont="1" applyFill="1" applyBorder="1" applyAlignment="1">
      <alignment horizontal="center" vertical="center"/>
    </xf>
    <xf numFmtId="4" fontId="11" fillId="2" borderId="32" xfId="0" applyNumberFormat="1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vertical="center" wrapText="1"/>
    </xf>
    <xf numFmtId="0" fontId="11" fillId="7" borderId="30" xfId="0" applyFont="1" applyFill="1" applyBorder="1" applyAlignment="1">
      <alignment horizontal="center" vertical="center" wrapText="1"/>
    </xf>
    <xf numFmtId="4" fontId="11" fillId="7" borderId="30" xfId="0" applyNumberFormat="1" applyFont="1" applyFill="1" applyBorder="1" applyAlignment="1">
      <alignment horizontal="center" vertical="center" wrapText="1"/>
    </xf>
    <xf numFmtId="4" fontId="11" fillId="2" borderId="31" xfId="0" applyNumberFormat="1" applyFont="1" applyFill="1" applyBorder="1" applyAlignment="1">
      <alignment horizontal="center"/>
    </xf>
    <xf numFmtId="0" fontId="11" fillId="0" borderId="0" xfId="0" applyFont="1" applyBorder="1"/>
    <xf numFmtId="4" fontId="10" fillId="7" borderId="26" xfId="0" applyNumberFormat="1" applyFont="1" applyFill="1" applyBorder="1" applyAlignment="1">
      <alignment horizontal="center"/>
    </xf>
    <xf numFmtId="0" fontId="11" fillId="7" borderId="26" xfId="0" applyFont="1" applyFill="1" applyBorder="1" applyAlignment="1">
      <alignment vertical="center"/>
    </xf>
    <xf numFmtId="0" fontId="11" fillId="7" borderId="21" xfId="0" applyFont="1" applyFill="1" applyBorder="1" applyAlignment="1">
      <alignment horizontal="center"/>
    </xf>
    <xf numFmtId="0" fontId="11" fillId="7" borderId="21" xfId="0" applyFont="1" applyFill="1" applyBorder="1"/>
    <xf numFmtId="4" fontId="11" fillId="7" borderId="21" xfId="0" applyNumberFormat="1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4" fontId="11" fillId="2" borderId="32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/>
    </xf>
    <xf numFmtId="4" fontId="11" fillId="2" borderId="6" xfId="0" applyNumberFormat="1" applyFont="1" applyFill="1" applyBorder="1" applyAlignment="1">
      <alignment horizontal="center"/>
    </xf>
    <xf numFmtId="4" fontId="11" fillId="2" borderId="7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3" fontId="0" fillId="4" borderId="1" xfId="2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7" borderId="41" xfId="0" applyFont="1" applyFill="1" applyBorder="1" applyAlignment="1">
      <alignment wrapText="1"/>
    </xf>
    <xf numFmtId="0" fontId="11" fillId="7" borderId="41" xfId="0" applyFont="1" applyFill="1" applyBorder="1" applyAlignment="1">
      <alignment horizontal="center" vertical="center"/>
    </xf>
    <xf numFmtId="4" fontId="11" fillId="7" borderId="41" xfId="0" applyNumberFormat="1" applyFont="1" applyFill="1" applyBorder="1" applyAlignment="1">
      <alignment horizontal="center" vertical="center"/>
    </xf>
    <xf numFmtId="4" fontId="11" fillId="7" borderId="42" xfId="0" applyNumberFormat="1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left" wrapText="1"/>
    </xf>
    <xf numFmtId="4" fontId="11" fillId="7" borderId="30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left" vertical="center" wrapText="1"/>
    </xf>
    <xf numFmtId="0" fontId="17" fillId="4" borderId="35" xfId="0" applyFont="1" applyFill="1" applyBorder="1" applyAlignment="1">
      <alignment horizontal="left" vertical="center" wrapText="1"/>
    </xf>
    <xf numFmtId="0" fontId="11" fillId="7" borderId="26" xfId="0" applyFont="1" applyFill="1" applyBorder="1" applyAlignment="1">
      <alignment horizontal="left"/>
    </xf>
    <xf numFmtId="2" fontId="11" fillId="7" borderId="26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left" vertical="center" wrapText="1"/>
    </xf>
    <xf numFmtId="0" fontId="17" fillId="4" borderId="37" xfId="0" applyFont="1" applyFill="1" applyBorder="1" applyAlignment="1">
      <alignment horizontal="left" vertical="center" wrapText="1"/>
    </xf>
    <xf numFmtId="0" fontId="17" fillId="4" borderId="17" xfId="0" applyFont="1" applyFill="1" applyBorder="1" applyAlignment="1">
      <alignment vertical="center" wrapText="1"/>
    </xf>
    <xf numFmtId="0" fontId="17" fillId="4" borderId="15" xfId="0" applyFont="1" applyFill="1" applyBorder="1" applyAlignment="1">
      <alignment horizontal="center" vertical="center"/>
    </xf>
    <xf numFmtId="4" fontId="17" fillId="4" borderId="1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 wrapText="1"/>
    </xf>
    <xf numFmtId="0" fontId="11" fillId="7" borderId="17" xfId="0" applyFont="1" applyFill="1" applyBorder="1" applyAlignment="1">
      <alignment horizontal="center" vertical="center"/>
    </xf>
    <xf numFmtId="0" fontId="11" fillId="7" borderId="43" xfId="0" applyFont="1" applyFill="1" applyBorder="1"/>
    <xf numFmtId="0" fontId="10" fillId="6" borderId="6" xfId="0" applyFont="1" applyFill="1" applyBorder="1" applyAlignment="1">
      <alignment horizontal="center"/>
    </xf>
    <xf numFmtId="4" fontId="10" fillId="6" borderId="6" xfId="0" applyNumberFormat="1" applyFont="1" applyFill="1" applyBorder="1" applyAlignment="1">
      <alignment horizontal="center"/>
    </xf>
    <xf numFmtId="4" fontId="10" fillId="6" borderId="7" xfId="0" applyNumberFormat="1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/>
    </xf>
    <xf numFmtId="4" fontId="10" fillId="6" borderId="6" xfId="0" applyNumberFormat="1" applyFont="1" applyFill="1" applyBorder="1" applyAlignment="1">
      <alignment horizontal="center" vertical="center"/>
    </xf>
    <xf numFmtId="4" fontId="10" fillId="6" borderId="7" xfId="0" applyNumberFormat="1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/>
    </xf>
    <xf numFmtId="4" fontId="11" fillId="6" borderId="6" xfId="0" applyNumberFormat="1" applyFont="1" applyFill="1" applyBorder="1" applyAlignment="1">
      <alignment horizontal="center"/>
    </xf>
    <xf numFmtId="4" fontId="11" fillId="6" borderId="7" xfId="0" applyNumberFormat="1" applyFont="1" applyFill="1" applyBorder="1" applyAlignment="1">
      <alignment horizontal="center"/>
    </xf>
    <xf numFmtId="0" fontId="11" fillId="2" borderId="31" xfId="0" applyFont="1" applyFill="1" applyBorder="1"/>
    <xf numFmtId="4" fontId="11" fillId="2" borderId="40" xfId="0" applyNumberFormat="1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 vertical="center" wrapText="1"/>
    </xf>
    <xf numFmtId="4" fontId="11" fillId="6" borderId="6" xfId="0" applyNumberFormat="1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1" fillId="7" borderId="23" xfId="0" applyFont="1" applyFill="1" applyBorder="1" applyAlignment="1">
      <alignment horizontal="left" wrapText="1"/>
    </xf>
    <xf numFmtId="0" fontId="11" fillId="7" borderId="0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left" vertical="center" wrapText="1"/>
    </xf>
    <xf numFmtId="0" fontId="11" fillId="7" borderId="40" xfId="0" applyFont="1" applyFill="1" applyBorder="1" applyAlignment="1">
      <alignment horizontal="center" vertical="center" wrapText="1"/>
    </xf>
    <xf numFmtId="4" fontId="11" fillId="7" borderId="27" xfId="0" applyNumberFormat="1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vertical="center" wrapText="1"/>
    </xf>
    <xf numFmtId="0" fontId="11" fillId="7" borderId="26" xfId="0" applyFont="1" applyFill="1" applyBorder="1" applyAlignment="1"/>
    <xf numFmtId="0" fontId="17" fillId="0" borderId="34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1" fillId="7" borderId="44" xfId="0" applyFont="1" applyFill="1" applyBorder="1" applyAlignment="1">
      <alignment horizontal="left"/>
    </xf>
    <xf numFmtId="2" fontId="11" fillId="7" borderId="45" xfId="0" applyNumberFormat="1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/>
    </xf>
    <xf numFmtId="0" fontId="17" fillId="4" borderId="29" xfId="0" applyFont="1" applyFill="1" applyBorder="1" applyAlignment="1">
      <alignment horizontal="center"/>
    </xf>
    <xf numFmtId="0" fontId="17" fillId="4" borderId="12" xfId="0" applyFont="1" applyFill="1" applyBorder="1" applyAlignment="1"/>
    <xf numFmtId="0" fontId="17" fillId="4" borderId="13" xfId="0" applyFont="1" applyFill="1" applyBorder="1" applyAlignment="1"/>
    <xf numFmtId="0" fontId="17" fillId="4" borderId="34" xfId="0" applyFont="1" applyFill="1" applyBorder="1" applyAlignment="1"/>
    <xf numFmtId="0" fontId="17" fillId="4" borderId="35" xfId="0" applyFont="1" applyFill="1" applyBorder="1" applyAlignment="1"/>
    <xf numFmtId="0" fontId="17" fillId="4" borderId="13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14" xfId="0" applyFont="1" applyBorder="1" applyAlignment="1"/>
    <xf numFmtId="0" fontId="17" fillId="0" borderId="29" xfId="0" applyFont="1" applyBorder="1" applyAlignment="1"/>
    <xf numFmtId="0" fontId="17" fillId="0" borderId="1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 vertical="center"/>
    </xf>
    <xf numFmtId="0" fontId="17" fillId="0" borderId="17" xfId="0" applyFont="1" applyBorder="1" applyAlignment="1"/>
    <xf numFmtId="0" fontId="17" fillId="0" borderId="15" xfId="0" applyFont="1" applyBorder="1" applyAlignment="1"/>
    <xf numFmtId="2" fontId="17" fillId="0" borderId="15" xfId="0" applyNumberFormat="1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/>
    </xf>
    <xf numFmtId="2" fontId="17" fillId="0" borderId="37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2" fontId="17" fillId="4" borderId="13" xfId="0" applyNumberFormat="1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vertical="center"/>
    </xf>
    <xf numFmtId="0" fontId="17" fillId="4" borderId="14" xfId="0" applyFont="1" applyFill="1" applyBorder="1" applyAlignment="1">
      <alignment vertical="center"/>
    </xf>
    <xf numFmtId="2" fontId="17" fillId="4" borderId="29" xfId="0" applyNumberFormat="1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wrapText="1"/>
    </xf>
    <xf numFmtId="0" fontId="17" fillId="4" borderId="48" xfId="0" applyFont="1" applyFill="1" applyBorder="1" applyAlignment="1">
      <alignment wrapText="1"/>
    </xf>
    <xf numFmtId="0" fontId="17" fillId="4" borderId="49" xfId="0" applyFont="1" applyFill="1" applyBorder="1" applyAlignment="1"/>
    <xf numFmtId="0" fontId="17" fillId="4" borderId="46" xfId="0" applyFont="1" applyFill="1" applyBorder="1" applyAlignment="1"/>
    <xf numFmtId="2" fontId="17" fillId="4" borderId="48" xfId="0" applyNumberFormat="1" applyFont="1" applyFill="1" applyBorder="1" applyAlignment="1">
      <alignment horizontal="center" vertical="center" wrapText="1"/>
    </xf>
    <xf numFmtId="2" fontId="17" fillId="4" borderId="46" xfId="0" applyNumberFormat="1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vertical="center" wrapText="1"/>
    </xf>
    <xf numFmtId="0" fontId="17" fillId="4" borderId="29" xfId="0" applyFont="1" applyFill="1" applyBorder="1" applyAlignment="1">
      <alignment vertical="center" wrapText="1"/>
    </xf>
    <xf numFmtId="2" fontId="17" fillId="4" borderId="29" xfId="0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/>
    <xf numFmtId="0" fontId="17" fillId="0" borderId="37" xfId="0" applyFont="1" applyBorder="1" applyAlignment="1"/>
    <xf numFmtId="0" fontId="17" fillId="0" borderId="13" xfId="0" applyFont="1" applyFill="1" applyBorder="1" applyAlignment="1">
      <alignment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/>
    </xf>
    <xf numFmtId="0" fontId="17" fillId="0" borderId="3" xfId="0" applyFont="1" applyBorder="1" applyAlignment="1"/>
    <xf numFmtId="0" fontId="17" fillId="0" borderId="4" xfId="0" applyFont="1" applyBorder="1" applyAlignment="1"/>
    <xf numFmtId="2" fontId="17" fillId="0" borderId="3" xfId="0" applyNumberFormat="1" applyFont="1" applyBorder="1" applyAlignment="1">
      <alignment horizontal="center" vertical="center"/>
    </xf>
    <xf numFmtId="2" fontId="17" fillId="4" borderId="37" xfId="0" applyNumberFormat="1" applyFont="1" applyFill="1" applyBorder="1" applyAlignment="1">
      <alignment horizontal="center" vertical="center" wrapText="1"/>
    </xf>
    <xf numFmtId="2" fontId="17" fillId="2" borderId="27" xfId="0" applyNumberFormat="1" applyFont="1" applyFill="1" applyBorder="1" applyAlignment="1">
      <alignment horizontal="center" vertical="center" wrapText="1"/>
    </xf>
    <xf numFmtId="2" fontId="11" fillId="7" borderId="27" xfId="0" applyNumberFormat="1" applyFont="1" applyFill="1" applyBorder="1" applyAlignment="1">
      <alignment horizontal="center" vertical="center" wrapText="1"/>
    </xf>
    <xf numFmtId="2" fontId="17" fillId="6" borderId="6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wrapText="1"/>
    </xf>
    <xf numFmtId="0" fontId="17" fillId="0" borderId="29" xfId="0" applyFont="1" applyBorder="1" applyAlignment="1">
      <alignment wrapText="1"/>
    </xf>
    <xf numFmtId="2" fontId="17" fillId="0" borderId="29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2" fontId="17" fillId="0" borderId="13" xfId="0" applyNumberFormat="1" applyFont="1" applyBorder="1" applyAlignment="1">
      <alignment horizontal="center" vertical="center" wrapText="1"/>
    </xf>
    <xf numFmtId="2" fontId="17" fillId="0" borderId="29" xfId="0" applyNumberFormat="1" applyFont="1" applyFill="1" applyBorder="1" applyAlignment="1">
      <alignment horizontal="center" vertical="center" wrapText="1"/>
    </xf>
    <xf numFmtId="2" fontId="17" fillId="4" borderId="15" xfId="0" applyNumberFormat="1" applyFont="1" applyFill="1" applyBorder="1" applyAlignment="1">
      <alignment horizontal="center" vertical="center"/>
    </xf>
    <xf numFmtId="2" fontId="17" fillId="4" borderId="13" xfId="0" applyNumberFormat="1" applyFont="1" applyFill="1" applyBorder="1" applyAlignment="1">
      <alignment horizontal="center" vertical="center"/>
    </xf>
    <xf numFmtId="0" fontId="17" fillId="4" borderId="14" xfId="0" applyFont="1" applyFill="1" applyBorder="1" applyAlignment="1"/>
    <xf numFmtId="0" fontId="17" fillId="4" borderId="29" xfId="0" applyFont="1" applyFill="1" applyBorder="1" applyAlignment="1"/>
    <xf numFmtId="0" fontId="11" fillId="7" borderId="23" xfId="0" applyFont="1" applyFill="1" applyBorder="1" applyAlignment="1">
      <alignment wrapText="1"/>
    </xf>
    <xf numFmtId="2" fontId="11" fillId="7" borderId="0" xfId="0" applyNumberFormat="1" applyFont="1" applyFill="1" applyBorder="1" applyAlignment="1">
      <alignment horizontal="center" vertical="center"/>
    </xf>
    <xf numFmtId="0" fontId="11" fillId="7" borderId="50" xfId="0" applyFont="1" applyFill="1" applyBorder="1" applyAlignment="1">
      <alignment horizontal="center" vertical="center"/>
    </xf>
    <xf numFmtId="0" fontId="11" fillId="7" borderId="51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6" xfId="0" applyFont="1" applyFill="1" applyBorder="1"/>
    <xf numFmtId="0" fontId="10" fillId="6" borderId="6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vertical="center"/>
    </xf>
    <xf numFmtId="0" fontId="11" fillId="7" borderId="0" xfId="0" applyFont="1" applyFill="1" applyBorder="1" applyAlignment="1">
      <alignment wrapText="1"/>
    </xf>
    <xf numFmtId="0" fontId="17" fillId="4" borderId="15" xfId="0" applyFont="1" applyFill="1" applyBorder="1" applyAlignment="1"/>
    <xf numFmtId="0" fontId="17" fillId="4" borderId="39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24" xfId="0" applyFont="1" applyFill="1" applyBorder="1" applyAlignment="1">
      <alignment horizontal="left"/>
    </xf>
    <xf numFmtId="2" fontId="17" fillId="4" borderId="3" xfId="0" applyNumberFormat="1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left"/>
    </xf>
    <xf numFmtId="2" fontId="17" fillId="4" borderId="37" xfId="0" applyNumberFormat="1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vertical="center" wrapText="1"/>
    </xf>
    <xf numFmtId="0" fontId="20" fillId="4" borderId="15" xfId="0" applyFont="1" applyFill="1" applyBorder="1" applyAlignment="1">
      <alignment horizontal="center" vertical="center"/>
    </xf>
    <xf numFmtId="4" fontId="20" fillId="4" borderId="15" xfId="0" applyNumberFormat="1" applyFont="1" applyFill="1" applyBorder="1" applyAlignment="1">
      <alignment horizontal="center" vertical="center"/>
    </xf>
    <xf numFmtId="0" fontId="20" fillId="4" borderId="12" xfId="0" applyFont="1" applyFill="1" applyBorder="1" applyAlignment="1"/>
    <xf numFmtId="0" fontId="20" fillId="4" borderId="13" xfId="0" applyFont="1" applyFill="1" applyBorder="1" applyAlignment="1"/>
    <xf numFmtId="0" fontId="20" fillId="4" borderId="13" xfId="0" applyFont="1" applyFill="1" applyBorder="1" applyAlignment="1">
      <alignment horizontal="center"/>
    </xf>
    <xf numFmtId="0" fontId="20" fillId="4" borderId="14" xfId="0" applyFont="1" applyFill="1" applyBorder="1" applyAlignment="1"/>
    <xf numFmtId="0" fontId="20" fillId="4" borderId="29" xfId="0" applyFont="1" applyFill="1" applyBorder="1" applyAlignment="1"/>
    <xf numFmtId="0" fontId="20" fillId="4" borderId="29" xfId="0" applyFont="1" applyFill="1" applyBorder="1" applyAlignment="1">
      <alignment horizontal="center"/>
    </xf>
    <xf numFmtId="0" fontId="17" fillId="0" borderId="39" xfId="0" applyFont="1" applyBorder="1" applyAlignment="1"/>
    <xf numFmtId="0" fontId="17" fillId="4" borderId="0" xfId="0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/>
    </xf>
    <xf numFmtId="0" fontId="11" fillId="7" borderId="21" xfId="0" applyFont="1" applyFill="1" applyBorder="1" applyAlignment="1"/>
    <xf numFmtId="2" fontId="11" fillId="7" borderId="20" xfId="0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vertical="center" wrapText="1"/>
    </xf>
    <xf numFmtId="43" fontId="6" fillId="0" borderId="1" xfId="2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vertical="center"/>
    </xf>
    <xf numFmtId="0" fontId="17" fillId="4" borderId="37" xfId="0" applyFont="1" applyFill="1" applyBorder="1" applyAlignment="1">
      <alignment vertical="center"/>
    </xf>
    <xf numFmtId="0" fontId="11" fillId="7" borderId="33" xfId="0" applyFont="1" applyFill="1" applyBorder="1" applyAlignment="1">
      <alignment horizontal="center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10" fillId="6" borderId="5" xfId="0" applyFont="1" applyFill="1" applyBorder="1" applyAlignment="1">
      <alignment horizontal="center"/>
    </xf>
    <xf numFmtId="0" fontId="11" fillId="4" borderId="29" xfId="0" applyFont="1" applyFill="1" applyBorder="1" applyAlignment="1">
      <alignment vertical="center"/>
    </xf>
    <xf numFmtId="4" fontId="11" fillId="7" borderId="53" xfId="0" applyNumberFormat="1" applyFont="1" applyFill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4" fontId="16" fillId="4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 wrapText="1"/>
    </xf>
    <xf numFmtId="10" fontId="6" fillId="0" borderId="1" xfId="0" applyNumberFormat="1" applyFont="1" applyFill="1" applyBorder="1" applyAlignment="1">
      <alignment vertical="center" wrapText="1"/>
    </xf>
    <xf numFmtId="43" fontId="0" fillId="3" borderId="1" xfId="2" applyFont="1" applyFill="1" applyBorder="1" applyAlignment="1">
      <alignment horizontal="center" vertical="center"/>
    </xf>
    <xf numFmtId="43" fontId="18" fillId="4" borderId="1" xfId="2" applyFont="1" applyFill="1" applyBorder="1" applyAlignment="1">
      <alignment horizontal="center" vertical="center"/>
    </xf>
    <xf numFmtId="43" fontId="11" fillId="4" borderId="1" xfId="2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/>
    </xf>
    <xf numFmtId="0" fontId="9" fillId="4" borderId="6" xfId="3" applyFont="1" applyFill="1" applyBorder="1" applyAlignment="1">
      <alignment horizontal="center"/>
    </xf>
    <xf numFmtId="0" fontId="9" fillId="4" borderId="7" xfId="3" applyFont="1" applyFill="1" applyBorder="1" applyAlignment="1">
      <alignment horizontal="center"/>
    </xf>
    <xf numFmtId="1" fontId="9" fillId="4" borderId="2" xfId="3" applyNumberFormat="1" applyFont="1" applyFill="1" applyBorder="1" applyAlignment="1">
      <alignment horizontal="center"/>
    </xf>
    <xf numFmtId="1" fontId="9" fillId="4" borderId="3" xfId="3" applyNumberFormat="1" applyFont="1" applyFill="1" applyBorder="1" applyAlignment="1">
      <alignment horizontal="center"/>
    </xf>
    <xf numFmtId="1" fontId="9" fillId="4" borderId="4" xfId="3" applyNumberFormat="1" applyFont="1" applyFill="1" applyBorder="1" applyAlignment="1">
      <alignment horizontal="center"/>
    </xf>
    <xf numFmtId="0" fontId="9" fillId="3" borderId="1" xfId="3" applyFont="1" applyFill="1" applyBorder="1" applyAlignment="1">
      <alignment horizontal="center" vertical="center" wrapText="1"/>
    </xf>
    <xf numFmtId="2" fontId="9" fillId="4" borderId="5" xfId="3" applyNumberFormat="1" applyFont="1" applyFill="1" applyBorder="1" applyAlignment="1">
      <alignment horizontal="center" vertical="center"/>
    </xf>
    <xf numFmtId="2" fontId="9" fillId="4" borderId="7" xfId="3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wrapText="1"/>
    </xf>
    <xf numFmtId="0" fontId="11" fillId="7" borderId="54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vertical="center" wrapText="1"/>
    </xf>
    <xf numFmtId="4" fontId="11" fillId="7" borderId="55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wrapText="1"/>
    </xf>
    <xf numFmtId="0" fontId="17" fillId="4" borderId="37" xfId="0" applyFont="1" applyFill="1" applyBorder="1" applyAlignment="1">
      <alignment wrapText="1"/>
    </xf>
    <xf numFmtId="4" fontId="5" fillId="5" borderId="1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4" borderId="17" xfId="0" applyFont="1" applyFill="1" applyBorder="1" applyAlignment="1">
      <alignment horizontal="left"/>
    </xf>
    <xf numFmtId="0" fontId="17" fillId="4" borderId="15" xfId="0" applyFont="1" applyFill="1" applyBorder="1" applyAlignment="1">
      <alignment horizontal="left"/>
    </xf>
    <xf numFmtId="0" fontId="17" fillId="4" borderId="13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left"/>
    </xf>
    <xf numFmtId="0" fontId="17" fillId="4" borderId="13" xfId="0" applyFont="1" applyFill="1" applyBorder="1" applyAlignment="1">
      <alignment horizontal="left"/>
    </xf>
    <xf numFmtId="0" fontId="17" fillId="4" borderId="14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17" fillId="0" borderId="12" xfId="0" applyFont="1" applyBorder="1" applyAlignment="1"/>
    <xf numFmtId="0" fontId="17" fillId="0" borderId="13" xfId="0" applyFont="1" applyBorder="1" applyAlignment="1"/>
    <xf numFmtId="0" fontId="17" fillId="4" borderId="14" xfId="0" applyFont="1" applyFill="1" applyBorder="1" applyAlignment="1">
      <alignment horizontal="left"/>
    </xf>
    <xf numFmtId="0" fontId="17" fillId="4" borderId="2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" fontId="9" fillId="4" borderId="3" xfId="3" applyNumberFormat="1" applyFont="1" applyFill="1" applyBorder="1" applyAlignment="1">
      <alignment horizontal="center" vertical="top"/>
    </xf>
    <xf numFmtId="1" fontId="9" fillId="4" borderId="2" xfId="3" applyNumberFormat="1" applyFont="1" applyFill="1" applyBorder="1" applyAlignment="1">
      <alignment horizontal="right"/>
    </xf>
    <xf numFmtId="1" fontId="9" fillId="4" borderId="3" xfId="3" applyNumberFormat="1" applyFont="1" applyFill="1" applyBorder="1" applyAlignment="1">
      <alignment horizontal="right"/>
    </xf>
    <xf numFmtId="168" fontId="11" fillId="4" borderId="1" xfId="2" applyNumberFormat="1" applyFont="1" applyFill="1" applyBorder="1" applyAlignment="1">
      <alignment horizontal="right" vertical="center" wrapText="1"/>
    </xf>
    <xf numFmtId="43" fontId="12" fillId="0" borderId="1" xfId="4" applyNumberFormat="1" applyFont="1" applyBorder="1" applyAlignment="1">
      <alignment vertical="center"/>
    </xf>
    <xf numFmtId="1" fontId="9" fillId="4" borderId="11" xfId="3" applyNumberFormat="1" applyFont="1" applyFill="1" applyBorder="1" applyAlignment="1">
      <alignment vertical="center" wrapText="1"/>
    </xf>
    <xf numFmtId="1" fontId="9" fillId="4" borderId="0" xfId="3" applyNumberFormat="1" applyFont="1" applyFill="1" applyBorder="1" applyAlignment="1">
      <alignment vertical="center" wrapText="1"/>
    </xf>
    <xf numFmtId="1" fontId="8" fillId="4" borderId="0" xfId="3" applyNumberFormat="1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/>
    </xf>
    <xf numFmtId="0" fontId="8" fillId="4" borderId="0" xfId="3" applyFont="1" applyFill="1" applyBorder="1"/>
    <xf numFmtId="2" fontId="8" fillId="4" borderId="0" xfId="3" applyNumberFormat="1" applyFont="1" applyFill="1" applyBorder="1" applyAlignment="1">
      <alignment horizontal="center"/>
    </xf>
    <xf numFmtId="164" fontId="8" fillId="4" borderId="0" xfId="3" applyNumberFormat="1" applyFont="1" applyFill="1" applyBorder="1" applyAlignment="1"/>
    <xf numFmtId="0" fontId="7" fillId="0" borderId="0" xfId="4" applyBorder="1"/>
    <xf numFmtId="0" fontId="17" fillId="4" borderId="23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 wrapText="1"/>
    </xf>
    <xf numFmtId="4" fontId="17" fillId="4" borderId="0" xfId="0" applyNumberFormat="1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vertical="center" wrapText="1"/>
    </xf>
    <xf numFmtId="4" fontId="17" fillId="4" borderId="29" xfId="0" applyNumberFormat="1" applyFont="1" applyFill="1" applyBorder="1" applyAlignment="1">
      <alignment horizontal="center" vertical="center" wrapText="1"/>
    </xf>
    <xf numFmtId="4" fontId="17" fillId="4" borderId="13" xfId="0" applyNumberFormat="1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/>
    </xf>
    <xf numFmtId="4" fontId="5" fillId="9" borderId="1" xfId="2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4" fontId="5" fillId="5" borderId="1" xfId="0" applyNumberFormat="1" applyFont="1" applyFill="1" applyBorder="1" applyAlignment="1">
      <alignment horizontal="center" vertical="center"/>
    </xf>
    <xf numFmtId="43" fontId="4" fillId="5" borderId="1" xfId="2" applyFont="1" applyFill="1" applyBorder="1" applyAlignment="1">
      <alignment horizontal="center" vertical="center"/>
    </xf>
    <xf numFmtId="43" fontId="5" fillId="5" borderId="1" xfId="2" applyFont="1" applyFill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1" fillId="2" borderId="31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0" fillId="6" borderId="6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4" borderId="14" xfId="0" applyFont="1" applyFill="1" applyBorder="1" applyAlignment="1">
      <alignment horizontal="left" wrapText="1"/>
    </xf>
    <xf numFmtId="0" fontId="17" fillId="4" borderId="29" xfId="0" applyFont="1" applyFill="1" applyBorder="1" applyAlignment="1">
      <alignment horizontal="left" wrapText="1"/>
    </xf>
    <xf numFmtId="0" fontId="17" fillId="4" borderId="12" xfId="0" applyFont="1" applyFill="1" applyBorder="1" applyAlignment="1">
      <alignment horizontal="left" wrapText="1"/>
    </xf>
    <xf numFmtId="0" fontId="17" fillId="4" borderId="13" xfId="0" applyFont="1" applyFill="1" applyBorder="1" applyAlignment="1">
      <alignment horizontal="left" wrapText="1"/>
    </xf>
    <xf numFmtId="0" fontId="17" fillId="4" borderId="12" xfId="0" applyFont="1" applyFill="1" applyBorder="1" applyAlignment="1">
      <alignment horizontal="left"/>
    </xf>
    <xf numFmtId="0" fontId="17" fillId="4" borderId="13" xfId="0" applyFont="1" applyFill="1" applyBorder="1" applyAlignment="1">
      <alignment horizontal="left"/>
    </xf>
    <xf numFmtId="0" fontId="17" fillId="4" borderId="14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17" fillId="0" borderId="12" xfId="0" applyFont="1" applyBorder="1" applyAlignment="1"/>
    <xf numFmtId="0" fontId="17" fillId="0" borderId="13" xfId="0" applyFont="1" applyBorder="1" applyAlignment="1"/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4" borderId="14" xfId="0" applyFont="1" applyFill="1" applyBorder="1" applyAlignment="1">
      <alignment horizontal="left"/>
    </xf>
    <xf numFmtId="0" fontId="17" fillId="4" borderId="29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/>
    </xf>
    <xf numFmtId="0" fontId="10" fillId="6" borderId="6" xfId="0" applyFont="1" applyFill="1" applyBorder="1" applyAlignment="1">
      <alignment horizontal="left"/>
    </xf>
    <xf numFmtId="0" fontId="10" fillId="6" borderId="7" xfId="0" applyFont="1" applyFill="1" applyBorder="1" applyAlignment="1">
      <alignment horizontal="left"/>
    </xf>
    <xf numFmtId="0" fontId="17" fillId="4" borderId="17" xfId="0" applyFont="1" applyFill="1" applyBorder="1" applyAlignment="1">
      <alignment horizontal="left"/>
    </xf>
    <xf numFmtId="0" fontId="17" fillId="4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7" borderId="6" xfId="3" applyFont="1" applyFill="1" applyBorder="1" applyAlignment="1">
      <alignment vertical="center" wrapText="1"/>
    </xf>
    <xf numFmtId="0" fontId="9" fillId="7" borderId="7" xfId="3" applyFont="1" applyFill="1" applyBorder="1" applyAlignment="1">
      <alignment vertical="center" wrapText="1"/>
    </xf>
    <xf numFmtId="1" fontId="9" fillId="4" borderId="6" xfId="3" applyNumberFormat="1" applyFont="1" applyFill="1" applyBorder="1" applyAlignment="1">
      <alignment horizontal="left"/>
    </xf>
    <xf numFmtId="1" fontId="8" fillId="4" borderId="6" xfId="3" applyNumberFormat="1" applyFont="1" applyFill="1" applyBorder="1" applyAlignment="1">
      <alignment horizontal="center"/>
    </xf>
    <xf numFmtId="0" fontId="9" fillId="7" borderId="6" xfId="3" applyFont="1" applyFill="1" applyBorder="1" applyAlignment="1">
      <alignment horizontal="left" vertical="center" wrapText="1"/>
    </xf>
    <xf numFmtId="0" fontId="9" fillId="7" borderId="7" xfId="3" applyFont="1" applyFill="1" applyBorder="1" applyAlignment="1">
      <alignment horizontal="left" vertical="center" wrapText="1"/>
    </xf>
    <xf numFmtId="0" fontId="19" fillId="2" borderId="1" xfId="3" applyFont="1" applyFill="1" applyBorder="1" applyAlignment="1">
      <alignment horizontal="right"/>
    </xf>
    <xf numFmtId="165" fontId="9" fillId="3" borderId="5" xfId="3" applyNumberFormat="1" applyFont="1" applyFill="1" applyBorder="1" applyAlignment="1">
      <alignment horizontal="center"/>
    </xf>
    <xf numFmtId="165" fontId="9" fillId="3" borderId="7" xfId="3" applyNumberFormat="1" applyFont="1" applyFill="1" applyBorder="1" applyAlignment="1">
      <alignment horizontal="center"/>
    </xf>
    <xf numFmtId="1" fontId="9" fillId="4" borderId="2" xfId="3" applyNumberFormat="1" applyFont="1" applyFill="1" applyBorder="1" applyAlignment="1">
      <alignment horizontal="center"/>
    </xf>
    <xf numFmtId="1" fontId="9" fillId="4" borderId="3" xfId="3" applyNumberFormat="1" applyFont="1" applyFill="1" applyBorder="1" applyAlignment="1">
      <alignment horizontal="center"/>
    </xf>
    <xf numFmtId="1" fontId="9" fillId="4" borderId="4" xfId="3" applyNumberFormat="1" applyFont="1" applyFill="1" applyBorder="1" applyAlignment="1">
      <alignment horizontal="center"/>
    </xf>
    <xf numFmtId="49" fontId="11" fillId="4" borderId="5" xfId="3" applyNumberFormat="1" applyFont="1" applyFill="1" applyBorder="1" applyAlignment="1">
      <alignment horizontal="left" vertical="center" wrapText="1"/>
    </xf>
    <xf numFmtId="49" fontId="11" fillId="4" borderId="6" xfId="3" applyNumberFormat="1" applyFont="1" applyFill="1" applyBorder="1" applyAlignment="1">
      <alignment horizontal="left" vertical="center" wrapText="1"/>
    </xf>
    <xf numFmtId="49" fontId="11" fillId="4" borderId="7" xfId="3" applyNumberFormat="1" applyFont="1" applyFill="1" applyBorder="1" applyAlignment="1">
      <alignment horizontal="left" vertical="center" wrapText="1"/>
    </xf>
    <xf numFmtId="43" fontId="11" fillId="4" borderId="5" xfId="2" applyFont="1" applyFill="1" applyBorder="1" applyAlignment="1">
      <alignment horizontal="center" vertical="center" wrapText="1"/>
    </xf>
    <xf numFmtId="43" fontId="11" fillId="4" borderId="7" xfId="2" applyFont="1" applyFill="1" applyBorder="1" applyAlignment="1">
      <alignment horizontal="center" vertical="center" wrapText="1"/>
    </xf>
    <xf numFmtId="0" fontId="19" fillId="4" borderId="1" xfId="3" applyFont="1" applyFill="1" applyBorder="1" applyAlignment="1">
      <alignment horizontal="right"/>
    </xf>
    <xf numFmtId="0" fontId="19" fillId="4" borderId="1" xfId="3" applyFont="1" applyFill="1" applyBorder="1" applyAlignment="1">
      <alignment horizontal="right" vertical="center"/>
    </xf>
    <xf numFmtId="0" fontId="9" fillId="4" borderId="1" xfId="3" applyFont="1" applyFill="1" applyBorder="1" applyAlignment="1">
      <alignment horizontal="right" vertical="center"/>
    </xf>
    <xf numFmtId="0" fontId="9" fillId="4" borderId="5" xfId="3" applyFont="1" applyFill="1" applyBorder="1" applyAlignment="1">
      <alignment horizontal="center"/>
    </xf>
    <xf numFmtId="0" fontId="9" fillId="4" borderId="6" xfId="3" applyFont="1" applyFill="1" applyBorder="1" applyAlignment="1">
      <alignment horizontal="center"/>
    </xf>
    <xf numFmtId="0" fontId="9" fillId="4" borderId="7" xfId="3" applyFont="1" applyFill="1" applyBorder="1" applyAlignment="1">
      <alignment horizontal="center"/>
    </xf>
    <xf numFmtId="0" fontId="19" fillId="2" borderId="1" xfId="3" applyFont="1" applyFill="1" applyBorder="1" applyAlignment="1">
      <alignment horizontal="center"/>
    </xf>
    <xf numFmtId="0" fontId="19" fillId="2" borderId="8" xfId="3" applyFont="1" applyFill="1" applyBorder="1" applyAlignment="1">
      <alignment horizontal="center"/>
    </xf>
    <xf numFmtId="0" fontId="9" fillId="3" borderId="1" xfId="3" applyFont="1" applyFill="1" applyBorder="1" applyAlignment="1">
      <alignment horizontal="center" vertical="center" wrapText="1"/>
    </xf>
    <xf numFmtId="49" fontId="11" fillId="4" borderId="1" xfId="3" applyNumberFormat="1" applyFont="1" applyFill="1" applyBorder="1" applyAlignment="1">
      <alignment horizontal="left" vertical="center" wrapText="1"/>
    </xf>
    <xf numFmtId="43" fontId="11" fillId="4" borderId="1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9" fillId="3" borderId="7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left" vertical="center" wrapText="1"/>
    </xf>
    <xf numFmtId="0" fontId="9" fillId="4" borderId="6" xfId="3" applyFont="1" applyFill="1" applyBorder="1" applyAlignment="1">
      <alignment horizontal="left" vertical="center" wrapText="1"/>
    </xf>
    <xf numFmtId="0" fontId="9" fillId="4" borderId="7" xfId="3" applyFont="1" applyFill="1" applyBorder="1" applyAlignment="1">
      <alignment horizontal="left" vertical="center" wrapText="1"/>
    </xf>
    <xf numFmtId="0" fontId="9" fillId="4" borderId="5" xfId="3" applyFont="1" applyFill="1" applyBorder="1" applyAlignment="1">
      <alignment horizontal="center" vertical="center"/>
    </xf>
    <xf numFmtId="0" fontId="9" fillId="4" borderId="7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right"/>
    </xf>
    <xf numFmtId="0" fontId="19" fillId="2" borderId="6" xfId="3" applyFont="1" applyFill="1" applyBorder="1" applyAlignment="1">
      <alignment horizontal="right"/>
    </xf>
    <xf numFmtId="0" fontId="19" fillId="2" borderId="7" xfId="3" applyFont="1" applyFill="1" applyBorder="1" applyAlignment="1">
      <alignment horizontal="right"/>
    </xf>
    <xf numFmtId="0" fontId="9" fillId="7" borderId="6" xfId="3" applyFont="1" applyFill="1" applyBorder="1" applyAlignment="1">
      <alignment horizontal="left" vertical="top"/>
    </xf>
    <xf numFmtId="0" fontId="19" fillId="7" borderId="6" xfId="3" applyFont="1" applyFill="1" applyBorder="1" applyAlignment="1">
      <alignment horizontal="center" vertical="top"/>
    </xf>
    <xf numFmtId="0" fontId="19" fillId="7" borderId="7" xfId="3" applyFont="1" applyFill="1" applyBorder="1" applyAlignment="1">
      <alignment horizontal="center" vertical="top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center"/>
    </xf>
    <xf numFmtId="0" fontId="19" fillId="2" borderId="7" xfId="3" applyFont="1" applyFill="1" applyBorder="1" applyAlignment="1">
      <alignment horizontal="center"/>
    </xf>
    <xf numFmtId="0" fontId="19" fillId="4" borderId="5" xfId="3" applyFont="1" applyFill="1" applyBorder="1" applyAlignment="1">
      <alignment horizontal="right"/>
    </xf>
    <xf numFmtId="0" fontId="19" fillId="4" borderId="6" xfId="3" applyFont="1" applyFill="1" applyBorder="1" applyAlignment="1">
      <alignment horizontal="right"/>
    </xf>
    <xf numFmtId="0" fontId="19" fillId="4" borderId="7" xfId="3" applyFont="1" applyFill="1" applyBorder="1" applyAlignment="1">
      <alignment horizontal="right"/>
    </xf>
    <xf numFmtId="1" fontId="9" fillId="4" borderId="6" xfId="3" applyNumberFormat="1" applyFont="1" applyFill="1" applyBorder="1" applyAlignment="1">
      <alignment horizontal="center"/>
    </xf>
    <xf numFmtId="0" fontId="19" fillId="4" borderId="5" xfId="3" applyFont="1" applyFill="1" applyBorder="1" applyAlignment="1">
      <alignment horizontal="right" vertical="center"/>
    </xf>
    <xf numFmtId="0" fontId="19" fillId="4" borderId="6" xfId="3" applyFont="1" applyFill="1" applyBorder="1" applyAlignment="1">
      <alignment horizontal="right" vertical="center"/>
    </xf>
    <xf numFmtId="0" fontId="19" fillId="4" borderId="7" xfId="3" applyFont="1" applyFill="1" applyBorder="1" applyAlignment="1">
      <alignment horizontal="right" vertical="center"/>
    </xf>
    <xf numFmtId="165" fontId="9" fillId="3" borderId="5" xfId="3" applyNumberFormat="1" applyFont="1" applyFill="1" applyBorder="1" applyAlignment="1">
      <alignment horizontal="right"/>
    </xf>
    <xf numFmtId="165" fontId="9" fillId="3" borderId="7" xfId="3" applyNumberFormat="1" applyFont="1" applyFill="1" applyBorder="1" applyAlignment="1">
      <alignment horizontal="right"/>
    </xf>
    <xf numFmtId="0" fontId="9" fillId="4" borderId="5" xfId="3" applyFont="1" applyFill="1" applyBorder="1" applyAlignment="1">
      <alignment horizontal="left" vertical="center"/>
    </xf>
    <xf numFmtId="0" fontId="9" fillId="4" borderId="6" xfId="3" applyFont="1" applyFill="1" applyBorder="1" applyAlignment="1">
      <alignment horizontal="left" vertical="center"/>
    </xf>
    <xf numFmtId="0" fontId="9" fillId="4" borderId="7" xfId="3" applyFont="1" applyFill="1" applyBorder="1" applyAlignment="1">
      <alignment horizontal="left" vertical="center"/>
    </xf>
    <xf numFmtId="2" fontId="9" fillId="4" borderId="5" xfId="3" applyNumberFormat="1" applyFont="1" applyFill="1" applyBorder="1" applyAlignment="1">
      <alignment horizontal="center" vertical="center"/>
    </xf>
    <xf numFmtId="2" fontId="9" fillId="4" borderId="7" xfId="3" applyNumberFormat="1" applyFont="1" applyFill="1" applyBorder="1" applyAlignment="1">
      <alignment horizontal="center" vertical="center"/>
    </xf>
    <xf numFmtId="1" fontId="11" fillId="4" borderId="5" xfId="3" applyNumberFormat="1" applyFont="1" applyFill="1" applyBorder="1" applyAlignment="1">
      <alignment horizontal="center" vertical="center" wrapText="1"/>
    </xf>
    <xf numFmtId="1" fontId="11" fillId="4" borderId="7" xfId="3" applyNumberFormat="1" applyFont="1" applyFill="1" applyBorder="1" applyAlignment="1">
      <alignment horizontal="center" vertical="center" wrapText="1"/>
    </xf>
    <xf numFmtId="49" fontId="11" fillId="4" borderId="5" xfId="3" applyNumberFormat="1" applyFont="1" applyFill="1" applyBorder="1" applyAlignment="1">
      <alignment horizontal="left" vertical="top" wrapText="1"/>
    </xf>
    <xf numFmtId="49" fontId="11" fillId="4" borderId="6" xfId="3" applyNumberFormat="1" applyFont="1" applyFill="1" applyBorder="1" applyAlignment="1">
      <alignment horizontal="left" vertical="top" wrapText="1"/>
    </xf>
    <xf numFmtId="49" fontId="11" fillId="4" borderId="7" xfId="3" applyNumberFormat="1" applyFont="1" applyFill="1" applyBorder="1" applyAlignment="1">
      <alignment horizontal="left" vertical="top" wrapText="1"/>
    </xf>
    <xf numFmtId="49" fontId="11" fillId="4" borderId="1" xfId="3" applyNumberFormat="1" applyFont="1" applyFill="1" applyBorder="1" applyAlignment="1">
      <alignment horizontal="left" vertical="top" wrapText="1"/>
    </xf>
    <xf numFmtId="1" fontId="11" fillId="4" borderId="5" xfId="3" applyNumberFormat="1" applyFont="1" applyFill="1" applyBorder="1" applyAlignment="1">
      <alignment horizontal="center" vertical="top" wrapText="1"/>
    </xf>
    <xf numFmtId="1" fontId="11" fillId="4" borderId="6" xfId="3" applyNumberFormat="1" applyFont="1" applyFill="1" applyBorder="1" applyAlignment="1">
      <alignment horizontal="center" vertical="top" wrapText="1"/>
    </xf>
    <xf numFmtId="1" fontId="11" fillId="4" borderId="7" xfId="3" applyNumberFormat="1" applyFont="1" applyFill="1" applyBorder="1" applyAlignment="1">
      <alignment horizontal="center" vertical="top" wrapText="1"/>
    </xf>
    <xf numFmtId="0" fontId="9" fillId="4" borderId="1" xfId="3" applyFont="1" applyFill="1" applyBorder="1" applyAlignment="1">
      <alignment horizontal="right"/>
    </xf>
    <xf numFmtId="0" fontId="18" fillId="2" borderId="1" xfId="4" applyFont="1" applyFill="1" applyBorder="1" applyAlignment="1">
      <alignment horizontal="center" vertical="center"/>
    </xf>
    <xf numFmtId="167" fontId="18" fillId="2" borderId="1" xfId="4" applyNumberFormat="1" applyFont="1" applyFill="1" applyBorder="1" applyAlignment="1">
      <alignment horizontal="center" vertical="center"/>
    </xf>
    <xf numFmtId="1" fontId="9" fillId="4" borderId="5" xfId="3" applyNumberFormat="1" applyFont="1" applyFill="1" applyBorder="1" applyAlignment="1">
      <alignment horizontal="left" vertical="center"/>
    </xf>
    <xf numFmtId="1" fontId="9" fillId="4" borderId="6" xfId="3" applyNumberFormat="1" applyFont="1" applyFill="1" applyBorder="1" applyAlignment="1">
      <alignment horizontal="left" vertical="center"/>
    </xf>
    <xf numFmtId="1" fontId="9" fillId="4" borderId="6" xfId="3" applyNumberFormat="1" applyFont="1" applyFill="1" applyBorder="1" applyAlignment="1">
      <alignment horizontal="center" vertical="center"/>
    </xf>
    <xf numFmtId="1" fontId="9" fillId="4" borderId="7" xfId="3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23" xfId="0" applyFont="1" applyBorder="1"/>
    <xf numFmtId="0" fontId="11" fillId="0" borderId="0" xfId="0" applyFont="1" applyBorder="1" applyAlignment="1">
      <alignment vertical="center"/>
    </xf>
    <xf numFmtId="0" fontId="17" fillId="0" borderId="52" xfId="0" applyFont="1" applyFill="1" applyBorder="1" applyAlignment="1">
      <alignment vertical="center" wrapText="1"/>
    </xf>
    <xf numFmtId="4" fontId="11" fillId="7" borderId="57" xfId="0" applyNumberFormat="1" applyFont="1" applyFill="1" applyBorder="1" applyAlignment="1">
      <alignment horizontal="center"/>
    </xf>
    <xf numFmtId="0" fontId="17" fillId="0" borderId="18" xfId="0" applyFont="1" applyBorder="1" applyAlignment="1"/>
    <xf numFmtId="0" fontId="17" fillId="0" borderId="52" xfId="0" applyFont="1" applyBorder="1" applyAlignment="1"/>
    <xf numFmtId="0" fontId="17" fillId="0" borderId="18" xfId="0" applyFont="1" applyBorder="1" applyAlignment="1">
      <alignment horizontal="left"/>
    </xf>
    <xf numFmtId="0" fontId="17" fillId="0" borderId="52" xfId="0" applyFont="1" applyBorder="1" applyAlignment="1">
      <alignment horizontal="left"/>
    </xf>
    <xf numFmtId="4" fontId="11" fillId="7" borderId="55" xfId="0" applyNumberFormat="1" applyFont="1" applyFill="1" applyBorder="1" applyAlignment="1">
      <alignment horizontal="center"/>
    </xf>
    <xf numFmtId="2" fontId="11" fillId="7" borderId="59" xfId="0" applyNumberFormat="1" applyFont="1" applyFill="1" applyBorder="1" applyAlignment="1">
      <alignment horizontal="center" vertical="center"/>
    </xf>
    <xf numFmtId="2" fontId="11" fillId="7" borderId="57" xfId="0" applyNumberFormat="1" applyFont="1" applyFill="1" applyBorder="1" applyAlignment="1">
      <alignment horizontal="center" vertical="center"/>
    </xf>
    <xf numFmtId="2" fontId="11" fillId="7" borderId="55" xfId="0" applyNumberFormat="1" applyFont="1" applyFill="1" applyBorder="1" applyAlignment="1">
      <alignment horizontal="center" vertical="center"/>
    </xf>
    <xf numFmtId="0" fontId="17" fillId="0" borderId="59" xfId="0" applyFont="1" applyBorder="1" applyAlignment="1"/>
    <xf numFmtId="0" fontId="17" fillId="0" borderId="60" xfId="0" applyFont="1" applyBorder="1"/>
    <xf numFmtId="4" fontId="11" fillId="7" borderId="57" xfId="0" applyNumberFormat="1" applyFont="1" applyFill="1" applyBorder="1" applyAlignment="1">
      <alignment horizontal="center" vertical="center"/>
    </xf>
    <xf numFmtId="0" fontId="17" fillId="0" borderId="61" xfId="0" applyFont="1" applyBorder="1" applyAlignment="1">
      <alignment horizontal="left"/>
    </xf>
    <xf numFmtId="4" fontId="11" fillId="4" borderId="59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60" xfId="0" applyFont="1" applyBorder="1" applyAlignment="1">
      <alignment vertical="center"/>
    </xf>
    <xf numFmtId="0" fontId="17" fillId="4" borderId="59" xfId="0" applyFont="1" applyFill="1" applyBorder="1" applyAlignment="1">
      <alignment horizontal="center" vertical="center"/>
    </xf>
    <xf numFmtId="0" fontId="17" fillId="4" borderId="62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61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vertical="center" wrapText="1"/>
    </xf>
    <xf numFmtId="0" fontId="17" fillId="0" borderId="52" xfId="0" applyFont="1" applyBorder="1" applyAlignment="1">
      <alignment vertical="center"/>
    </xf>
    <xf numFmtId="0" fontId="11" fillId="0" borderId="8" xfId="0" applyFont="1" applyBorder="1"/>
    <xf numFmtId="0" fontId="11" fillId="0" borderId="63" xfId="0" applyFont="1" applyBorder="1"/>
    <xf numFmtId="0" fontId="11" fillId="0" borderId="64" xfId="0" applyFont="1" applyBorder="1"/>
    <xf numFmtId="0" fontId="17" fillId="4" borderId="18" xfId="0" applyFont="1" applyFill="1" applyBorder="1" applyAlignment="1">
      <alignment horizontal="left" vertical="center" wrapText="1"/>
    </xf>
    <xf numFmtId="0" fontId="17" fillId="4" borderId="60" xfId="0" applyFont="1" applyFill="1" applyBorder="1" applyAlignment="1">
      <alignment horizontal="left" vertical="center" wrapText="1"/>
    </xf>
    <xf numFmtId="0" fontId="17" fillId="4" borderId="59" xfId="0" applyFont="1" applyFill="1" applyBorder="1" applyAlignment="1">
      <alignment horizontal="left"/>
    </xf>
    <xf numFmtId="0" fontId="17" fillId="4" borderId="18" xfId="0" applyFont="1" applyFill="1" applyBorder="1" applyAlignment="1">
      <alignment horizontal="left"/>
    </xf>
    <xf numFmtId="0" fontId="17" fillId="4" borderId="52" xfId="0" applyFont="1" applyFill="1" applyBorder="1" applyAlignment="1">
      <alignment horizontal="left"/>
    </xf>
    <xf numFmtId="0" fontId="17" fillId="4" borderId="18" xfId="0" applyFont="1" applyFill="1" applyBorder="1" applyAlignment="1"/>
    <xf numFmtId="0" fontId="17" fillId="4" borderId="60" xfId="0" applyFont="1" applyFill="1" applyBorder="1" applyAlignment="1"/>
    <xf numFmtId="0" fontId="17" fillId="4" borderId="52" xfId="0" applyFont="1" applyFill="1" applyBorder="1" applyAlignment="1">
      <alignment horizontal="left" vertical="center" wrapText="1"/>
    </xf>
    <xf numFmtId="4" fontId="11" fillId="7" borderId="57" xfId="0" applyNumberFormat="1" applyFont="1" applyFill="1" applyBorder="1" applyAlignment="1">
      <alignment horizontal="center" vertical="center" wrapText="1"/>
    </xf>
    <xf numFmtId="0" fontId="17" fillId="4" borderId="61" xfId="0" applyFont="1" applyFill="1" applyBorder="1" applyAlignment="1">
      <alignment horizontal="left" vertical="center" wrapText="1"/>
    </xf>
    <xf numFmtId="4" fontId="17" fillId="4" borderId="18" xfId="0" applyNumberFormat="1" applyFont="1" applyFill="1" applyBorder="1" applyAlignment="1">
      <alignment horizontal="center" vertical="center" wrapText="1"/>
    </xf>
    <xf numFmtId="4" fontId="17" fillId="4" borderId="62" xfId="0" applyNumberFormat="1" applyFont="1" applyFill="1" applyBorder="1" applyAlignment="1">
      <alignment horizontal="center" vertical="center" wrapText="1"/>
    </xf>
    <xf numFmtId="4" fontId="11" fillId="7" borderId="65" xfId="0" applyNumberFormat="1" applyFont="1" applyFill="1" applyBorder="1" applyAlignment="1">
      <alignment horizontal="center" vertical="center" wrapText="1"/>
    </xf>
    <xf numFmtId="4" fontId="11" fillId="6" borderId="7" xfId="0" applyNumberFormat="1" applyFont="1" applyFill="1" applyBorder="1" applyAlignment="1">
      <alignment horizontal="center" vertical="center" wrapText="1"/>
    </xf>
    <xf numFmtId="4" fontId="11" fillId="7" borderId="32" xfId="0" applyNumberFormat="1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left"/>
    </xf>
    <xf numFmtId="2" fontId="11" fillId="7" borderId="66" xfId="0" applyNumberFormat="1" applyFont="1" applyFill="1" applyBorder="1" applyAlignment="1">
      <alignment horizontal="center" vertical="center"/>
    </xf>
    <xf numFmtId="0" fontId="17" fillId="4" borderId="52" xfId="0" applyFont="1" applyFill="1" applyBorder="1" applyAlignment="1"/>
    <xf numFmtId="0" fontId="17" fillId="0" borderId="61" xfId="0" applyFont="1" applyBorder="1" applyAlignment="1"/>
    <xf numFmtId="4" fontId="11" fillId="7" borderId="58" xfId="0" applyNumberFormat="1" applyFont="1" applyFill="1" applyBorder="1" applyAlignment="1">
      <alignment horizontal="center" vertical="center"/>
    </xf>
    <xf numFmtId="0" fontId="17" fillId="4" borderId="59" xfId="0" applyFont="1" applyFill="1" applyBorder="1" applyAlignment="1"/>
    <xf numFmtId="0" fontId="17" fillId="4" borderId="4" xfId="0" applyFont="1" applyFill="1" applyBorder="1" applyAlignment="1">
      <alignment horizontal="left"/>
    </xf>
    <xf numFmtId="0" fontId="17" fillId="0" borderId="18" xfId="0" applyFont="1" applyFill="1" applyBorder="1" applyAlignment="1">
      <alignment wrapText="1"/>
    </xf>
    <xf numFmtId="2" fontId="11" fillId="7" borderId="62" xfId="0" applyNumberFormat="1" applyFont="1" applyFill="1" applyBorder="1" applyAlignment="1">
      <alignment horizontal="center" vertical="center"/>
    </xf>
    <xf numFmtId="2" fontId="11" fillId="7" borderId="67" xfId="0" applyNumberFormat="1" applyFont="1" applyFill="1" applyBorder="1" applyAlignment="1">
      <alignment horizontal="center" vertical="center"/>
    </xf>
    <xf numFmtId="4" fontId="11" fillId="7" borderId="67" xfId="0" applyNumberFormat="1" applyFont="1" applyFill="1" applyBorder="1" applyAlignment="1">
      <alignment horizontal="center" vertical="center"/>
    </xf>
    <xf numFmtId="0" fontId="17" fillId="4" borderId="68" xfId="0" applyFont="1" applyFill="1" applyBorder="1" applyAlignment="1">
      <alignment wrapText="1"/>
    </xf>
    <xf numFmtId="0" fontId="17" fillId="4" borderId="69" xfId="0" applyFont="1" applyFill="1" applyBorder="1" applyAlignment="1"/>
    <xf numFmtId="0" fontId="17" fillId="0" borderId="52" xfId="0" applyFont="1" applyBorder="1" applyAlignment="1">
      <alignment wrapText="1"/>
    </xf>
    <xf numFmtId="0" fontId="17" fillId="4" borderId="61" xfId="0" applyFont="1" applyFill="1" applyBorder="1" applyAlignment="1">
      <alignment wrapText="1"/>
    </xf>
    <xf numFmtId="4" fontId="11" fillId="7" borderId="62" xfId="0" applyNumberFormat="1" applyFont="1" applyFill="1" applyBorder="1" applyAlignment="1">
      <alignment horizontal="center"/>
    </xf>
    <xf numFmtId="0" fontId="17" fillId="4" borderId="61" xfId="0" applyFont="1" applyFill="1" applyBorder="1" applyAlignment="1">
      <alignment horizontal="left"/>
    </xf>
    <xf numFmtId="0" fontId="17" fillId="0" borderId="18" xfId="0" applyFont="1" applyBorder="1" applyAlignment="1">
      <alignment wrapText="1"/>
    </xf>
    <xf numFmtId="4" fontId="17" fillId="4" borderId="59" xfId="0" applyNumberFormat="1" applyFont="1" applyFill="1" applyBorder="1" applyAlignment="1">
      <alignment horizontal="center" vertical="center"/>
    </xf>
    <xf numFmtId="4" fontId="20" fillId="4" borderId="59" xfId="0" applyNumberFormat="1" applyFont="1" applyFill="1" applyBorder="1" applyAlignment="1">
      <alignment horizontal="center" vertical="center"/>
    </xf>
    <xf numFmtId="0" fontId="20" fillId="4" borderId="18" xfId="0" applyFont="1" applyFill="1" applyBorder="1" applyAlignment="1"/>
    <xf numFmtId="0" fontId="20" fillId="4" borderId="52" xfId="0" applyFont="1" applyFill="1" applyBorder="1" applyAlignment="1"/>
    <xf numFmtId="0" fontId="0" fillId="0" borderId="7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1" fillId="7" borderId="71" xfId="0" applyFont="1" applyFill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1" fillId="4" borderId="70" xfId="0" applyFont="1" applyFill="1" applyBorder="1" applyAlignment="1">
      <alignment horizontal="center" vertical="center"/>
    </xf>
    <xf numFmtId="0" fontId="11" fillId="4" borderId="72" xfId="0" applyFont="1" applyFill="1" applyBorder="1" applyAlignment="1">
      <alignment horizontal="center" vertical="center"/>
    </xf>
    <xf numFmtId="0" fontId="11" fillId="4" borderId="73" xfId="0" applyFont="1" applyFill="1" applyBorder="1" applyAlignment="1">
      <alignment horizontal="center" vertical="center"/>
    </xf>
    <xf numFmtId="0" fontId="11" fillId="7" borderId="56" xfId="0" applyFont="1" applyFill="1" applyBorder="1" applyAlignment="1">
      <alignment horizontal="center" vertical="center"/>
    </xf>
    <xf numFmtId="0" fontId="11" fillId="4" borderId="74" xfId="0" applyFont="1" applyFill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7" fillId="4" borderId="76" xfId="0" applyFont="1" applyFill="1" applyBorder="1" applyAlignment="1">
      <alignment horizontal="center" vertical="center"/>
    </xf>
    <xf numFmtId="0" fontId="17" fillId="4" borderId="70" xfId="0" applyFont="1" applyFill="1" applyBorder="1" applyAlignment="1">
      <alignment horizontal="center" vertical="center"/>
    </xf>
    <xf numFmtId="0" fontId="17" fillId="4" borderId="72" xfId="0" applyFont="1" applyFill="1" applyBorder="1" applyAlignment="1">
      <alignment horizontal="center" vertical="center"/>
    </xf>
    <xf numFmtId="0" fontId="11" fillId="0" borderId="70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11" fillId="4" borderId="38" xfId="0" applyFont="1" applyFill="1" applyBorder="1" applyAlignment="1">
      <alignment vertical="center"/>
    </xf>
    <xf numFmtId="0" fontId="11" fillId="4" borderId="52" xfId="0" applyFont="1" applyFill="1" applyBorder="1" applyAlignment="1">
      <alignment vertical="center"/>
    </xf>
    <xf numFmtId="0" fontId="17" fillId="4" borderId="52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left" vertical="center" wrapText="1"/>
    </xf>
    <xf numFmtId="0" fontId="11" fillId="7" borderId="76" xfId="0" applyFont="1" applyFill="1" applyBorder="1" applyAlignment="1">
      <alignment horizontal="center" vertical="center"/>
    </xf>
    <xf numFmtId="0" fontId="17" fillId="4" borderId="77" xfId="0" applyFont="1" applyFill="1" applyBorder="1" applyAlignment="1">
      <alignment horizontal="center"/>
    </xf>
    <xf numFmtId="0" fontId="17" fillId="4" borderId="78" xfId="0" applyFont="1" applyFill="1" applyBorder="1" applyAlignment="1">
      <alignment horizontal="center"/>
    </xf>
    <xf numFmtId="0" fontId="17" fillId="4" borderId="38" xfId="0" applyFont="1" applyFill="1" applyBorder="1" applyAlignment="1">
      <alignment horizontal="center" vertical="center"/>
    </xf>
    <xf numFmtId="0" fontId="11" fillId="7" borderId="79" xfId="0" applyFont="1" applyFill="1" applyBorder="1" applyAlignment="1">
      <alignment horizontal="center" vertical="center"/>
    </xf>
    <xf numFmtId="0" fontId="11" fillId="4" borderId="71" xfId="0" applyFont="1" applyFill="1" applyBorder="1" applyAlignment="1">
      <alignment horizontal="center" vertical="center"/>
    </xf>
    <xf numFmtId="0" fontId="11" fillId="4" borderId="8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 wrapText="1"/>
    </xf>
    <xf numFmtId="0" fontId="11" fillId="4" borderId="76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7" fillId="4" borderId="70" xfId="0" applyFont="1" applyFill="1" applyBorder="1" applyAlignment="1">
      <alignment horizontal="center" vertical="center" wrapText="1"/>
    </xf>
    <xf numFmtId="0" fontId="17" fillId="4" borderId="7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1" fillId="4" borderId="70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0" fontId="17" fillId="4" borderId="75" xfId="0" applyFont="1" applyFill="1" applyBorder="1" applyAlignment="1">
      <alignment horizontal="center" vertical="center"/>
    </xf>
    <xf numFmtId="0" fontId="11" fillId="4" borderId="75" xfId="0" applyFont="1" applyFill="1" applyBorder="1" applyAlignment="1">
      <alignment horizontal="center" vertical="center"/>
    </xf>
    <xf numFmtId="0" fontId="11" fillId="4" borderId="70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7" borderId="0" xfId="0" applyFont="1" applyFill="1" applyBorder="1"/>
    <xf numFmtId="0" fontId="11" fillId="7" borderId="0" xfId="0" applyFont="1" applyFill="1" applyBorder="1" applyAlignment="1">
      <alignment horizontal="center"/>
    </xf>
    <xf numFmtId="4" fontId="11" fillId="7" borderId="0" xfId="0" applyNumberFormat="1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 vertical="center"/>
    </xf>
    <xf numFmtId="0" fontId="12" fillId="4" borderId="70" xfId="0" applyFont="1" applyFill="1" applyBorder="1" applyAlignment="1">
      <alignment horizontal="center" vertical="center"/>
    </xf>
    <xf numFmtId="0" fontId="12" fillId="4" borderId="72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28" xfId="0" applyFont="1" applyFill="1" applyBorder="1"/>
    <xf numFmtId="0" fontId="11" fillId="7" borderId="28" xfId="0" applyFont="1" applyFill="1" applyBorder="1" applyAlignment="1">
      <alignment horizontal="center"/>
    </xf>
    <xf numFmtId="4" fontId="11" fillId="7" borderId="28" xfId="0" applyNumberFormat="1" applyFont="1" applyFill="1" applyBorder="1" applyAlignment="1">
      <alignment horizontal="center"/>
    </xf>
    <xf numFmtId="4" fontId="11" fillId="7" borderId="3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3" fontId="0" fillId="0" borderId="1" xfId="2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0" fillId="4" borderId="1" xfId="0" applyFont="1" applyFill="1" applyBorder="1"/>
    <xf numFmtId="0" fontId="0" fillId="3" borderId="1" xfId="0" applyFont="1" applyFill="1" applyBorder="1"/>
    <xf numFmtId="0" fontId="19" fillId="2" borderId="1" xfId="3" applyFont="1" applyFill="1" applyBorder="1" applyAlignment="1">
      <alignment horizontal="center" vertical="center" wrapText="1"/>
    </xf>
    <xf numFmtId="1" fontId="9" fillId="4" borderId="5" xfId="3" applyNumberFormat="1" applyFont="1" applyFill="1" applyBorder="1" applyAlignment="1">
      <alignment horizontal="center"/>
    </xf>
    <xf numFmtId="1" fontId="9" fillId="4" borderId="7" xfId="3" applyNumberFormat="1" applyFont="1" applyFill="1" applyBorder="1" applyAlignment="1">
      <alignment horizontal="center"/>
    </xf>
    <xf numFmtId="0" fontId="19" fillId="4" borderId="6" xfId="3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9" fontId="0" fillId="0" borderId="1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10" fontId="0" fillId="0" borderId="5" xfId="0" applyNumberFormat="1" applyFont="1" applyBorder="1" applyAlignment="1">
      <alignment horizontal="center" vertical="center"/>
    </xf>
    <xf numFmtId="10" fontId="0" fillId="0" borderId="7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43" fontId="1" fillId="2" borderId="1" xfId="0" applyNumberFormat="1" applyFont="1" applyFill="1" applyBorder="1" applyAlignment="1">
      <alignment vertical="center"/>
    </xf>
    <xf numFmtId="43" fontId="1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center"/>
    </xf>
    <xf numFmtId="43" fontId="18" fillId="3" borderId="1" xfId="0" applyNumberFormat="1" applyFont="1" applyFill="1" applyBorder="1" applyAlignment="1">
      <alignment vertical="center"/>
    </xf>
    <xf numFmtId="43" fontId="18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8" fillId="8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 wrapText="1"/>
    </xf>
    <xf numFmtId="4" fontId="0" fillId="4" borderId="1" xfId="0" applyNumberFormat="1" applyFont="1" applyFill="1" applyBorder="1" applyAlignment="1">
      <alignment horizontal="center" vertical="center"/>
    </xf>
    <xf numFmtId="43" fontId="0" fillId="4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vertical="center"/>
    </xf>
    <xf numFmtId="43" fontId="22" fillId="6" borderId="1" xfId="0" applyNumberFormat="1" applyFont="1" applyFill="1" applyBorder="1" applyAlignment="1">
      <alignment vertical="center"/>
    </xf>
    <xf numFmtId="43" fontId="22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2" fontId="0" fillId="3" borderId="1" xfId="0" applyNumberFormat="1" applyFont="1" applyFill="1" applyBorder="1" applyAlignment="1">
      <alignment vertical="center"/>
    </xf>
    <xf numFmtId="43" fontId="0" fillId="3" borderId="1" xfId="0" applyNumberFormat="1" applyFont="1" applyFill="1" applyBorder="1" applyAlignment="1">
      <alignment vertical="center"/>
    </xf>
    <xf numFmtId="43" fontId="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43" fontId="1" fillId="3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 wrapText="1"/>
    </xf>
    <xf numFmtId="2" fontId="0" fillId="4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4" fontId="18" fillId="4" borderId="1" xfId="0" applyNumberFormat="1" applyFont="1" applyFill="1" applyBorder="1" applyAlignment="1">
      <alignment horizontal="center" vertical="center"/>
    </xf>
    <xf numFmtId="43" fontId="18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43" fontId="18" fillId="4" borderId="1" xfId="0" applyNumberFormat="1" applyFont="1" applyFill="1" applyBorder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43" fontId="1" fillId="6" borderId="1" xfId="0" applyNumberFormat="1" applyFont="1" applyFill="1" applyBorder="1" applyAlignment="1">
      <alignment vertical="center"/>
    </xf>
    <xf numFmtId="43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4" fontId="22" fillId="6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 vertical="center"/>
    </xf>
    <xf numFmtId="43" fontId="0" fillId="3" borderId="1" xfId="0" applyNumberFormat="1" applyFont="1" applyFill="1" applyBorder="1" applyAlignment="1">
      <alignment horizontal="right" vertical="center"/>
    </xf>
    <xf numFmtId="2" fontId="18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right" vertical="center"/>
    </xf>
  </cellXfs>
  <cellStyles count="7">
    <cellStyle name="Moeda 2" xfId="5"/>
    <cellStyle name="Normal" xfId="0" builtinId="0"/>
    <cellStyle name="Normal 2" xfId="4"/>
    <cellStyle name="Normal 4" xfId="3"/>
    <cellStyle name="Normal 5 2" xfId="6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BreakPreview" topLeftCell="A17" zoomScaleNormal="100" zoomScaleSheetLayoutView="100" workbookViewId="0">
      <selection activeCell="A28" sqref="A28:D39"/>
    </sheetView>
  </sheetViews>
  <sheetFormatPr defaultRowHeight="15" x14ac:dyDescent="0.25"/>
  <cols>
    <col min="2" max="2" width="43.7109375" customWidth="1"/>
    <col min="3" max="3" width="18.7109375" customWidth="1"/>
    <col min="4" max="4" width="18" customWidth="1"/>
  </cols>
  <sheetData>
    <row r="1" spans="1:7" x14ac:dyDescent="0.25">
      <c r="A1" s="375" t="s">
        <v>36</v>
      </c>
      <c r="B1" s="375"/>
      <c r="C1" s="375"/>
      <c r="D1" s="375"/>
    </row>
    <row r="2" spans="1:7" ht="15" customHeight="1" x14ac:dyDescent="0.25">
      <c r="A2" s="375"/>
      <c r="B2" s="375"/>
      <c r="C2" s="375"/>
      <c r="D2" s="375"/>
    </row>
    <row r="3" spans="1:7" x14ac:dyDescent="0.25">
      <c r="A3" s="376" t="s">
        <v>628</v>
      </c>
      <c r="B3" s="376"/>
      <c r="C3" s="376"/>
      <c r="D3" s="376"/>
    </row>
    <row r="4" spans="1:7" x14ac:dyDescent="0.25">
      <c r="A4" s="377" t="s">
        <v>630</v>
      </c>
      <c r="B4" s="377"/>
      <c r="C4" s="377"/>
      <c r="D4" s="377"/>
    </row>
    <row r="5" spans="1:7" ht="15" customHeight="1" x14ac:dyDescent="0.25">
      <c r="A5" s="378" t="s">
        <v>629</v>
      </c>
      <c r="B5" s="378"/>
      <c r="C5" s="378"/>
      <c r="D5" s="378"/>
    </row>
    <row r="6" spans="1:7" x14ac:dyDescent="0.25">
      <c r="A6" s="378"/>
      <c r="B6" s="378"/>
      <c r="C6" s="378"/>
      <c r="D6" s="378"/>
    </row>
    <row r="7" spans="1:7" ht="12" customHeight="1" x14ac:dyDescent="0.25">
      <c r="A7" s="373" t="s">
        <v>25</v>
      </c>
      <c r="B7" s="373" t="s">
        <v>26</v>
      </c>
      <c r="C7" s="373" t="s">
        <v>35</v>
      </c>
      <c r="D7" s="374" t="s">
        <v>37</v>
      </c>
    </row>
    <row r="8" spans="1:7" x14ac:dyDescent="0.25">
      <c r="A8" s="373"/>
      <c r="B8" s="373"/>
      <c r="C8" s="373"/>
      <c r="D8" s="374"/>
    </row>
    <row r="9" spans="1:7" x14ac:dyDescent="0.25">
      <c r="A9" s="302" t="s">
        <v>9</v>
      </c>
      <c r="B9" s="316" t="str">
        <f>'PLANILHA ORÇAMENTÁRIA'!D8</f>
        <v>SERVIÇOS PRELIMINARES</v>
      </c>
      <c r="C9" s="317">
        <f>D9/$C$25</f>
        <v>6.168668895238405E-2</v>
      </c>
      <c r="D9" s="300">
        <f>'PLANILHA ORÇAMENTÁRIA'!H8</f>
        <v>13354.269999999999</v>
      </c>
      <c r="G9" s="21"/>
    </row>
    <row r="10" spans="1:7" x14ac:dyDescent="0.25">
      <c r="A10" s="302" t="s">
        <v>12</v>
      </c>
      <c r="B10" s="316" t="str">
        <f>'PLANILHA ORÇAMENTÁRIA'!D25</f>
        <v>PAREDES E DIVISÓRIAS</v>
      </c>
      <c r="C10" s="317">
        <f t="shared" ref="C10:C24" si="0">D10/$C$25</f>
        <v>0.20982020777009297</v>
      </c>
      <c r="D10" s="301">
        <f>'PLANILHA ORÇAMENTÁRIA'!H25</f>
        <v>45423.01999999999</v>
      </c>
    </row>
    <row r="11" spans="1:7" x14ac:dyDescent="0.25">
      <c r="A11" s="302" t="s">
        <v>13</v>
      </c>
      <c r="B11" s="316" t="str">
        <f>'PLANILHA ORÇAMENTÁRIA'!D37</f>
        <v xml:space="preserve">REPAROS </v>
      </c>
      <c r="C11" s="317">
        <f t="shared" si="0"/>
        <v>7.5853600131260577E-3</v>
      </c>
      <c r="D11" s="300">
        <f>'PLANILHA ORÇAMENTÁRIA'!H37</f>
        <v>1642.1200000000001</v>
      </c>
    </row>
    <row r="12" spans="1:7" x14ac:dyDescent="0.25">
      <c r="A12" s="302" t="s">
        <v>266</v>
      </c>
      <c r="B12" s="316" t="str">
        <f>'PLANILHA ORÇAMENTÁRIA'!D41</f>
        <v>ESQUADRIA METÁLICA</v>
      </c>
      <c r="C12" s="317">
        <f t="shared" si="0"/>
        <v>4.1163461154708605E-2</v>
      </c>
      <c r="D12" s="301">
        <f>'PLANILHA ORÇAMENTÁRIA'!H41</f>
        <v>8911.2899999999991</v>
      </c>
    </row>
    <row r="13" spans="1:7" x14ac:dyDescent="0.25">
      <c r="A13" s="302" t="s">
        <v>269</v>
      </c>
      <c r="B13" s="316" t="str">
        <f>'PLANILHA ORÇAMENTÁRIA'!D45</f>
        <v>COBERTURA</v>
      </c>
      <c r="C13" s="317">
        <f t="shared" si="0"/>
        <v>0.11751284520566373</v>
      </c>
      <c r="D13" s="301">
        <f>'PLANILHA ORÇAMENTÁRIA'!H45</f>
        <v>25439.82</v>
      </c>
    </row>
    <row r="14" spans="1:7" x14ac:dyDescent="0.25">
      <c r="A14" s="302" t="s">
        <v>274</v>
      </c>
      <c r="B14" s="316" t="str">
        <f>'PLANILHA ORÇAMENTÁRIA'!D51</f>
        <v>ESTRUTURAS EM CONCRETO</v>
      </c>
      <c r="C14" s="317">
        <f t="shared" si="0"/>
        <v>1.2248260206321498E-2</v>
      </c>
      <c r="D14" s="301">
        <f>'PLANILHA ORÇAMENTÁRIA'!H51</f>
        <v>2651.57</v>
      </c>
    </row>
    <row r="15" spans="1:7" x14ac:dyDescent="0.25">
      <c r="A15" s="302" t="s">
        <v>277</v>
      </c>
      <c r="B15" s="316" t="str">
        <f>'PLANILHA ORÇAMENTÁRIA'!D54</f>
        <v>REVESTIMENTO DE TETOS</v>
      </c>
      <c r="C15" s="317">
        <f t="shared" si="0"/>
        <v>7.5406549281097163E-2</v>
      </c>
      <c r="D15" s="301">
        <f>'PLANILHA ORÇAMENTÁRIA'!H54</f>
        <v>16324.420000000002</v>
      </c>
    </row>
    <row r="16" spans="1:7" x14ac:dyDescent="0.25">
      <c r="A16" s="302" t="s">
        <v>278</v>
      </c>
      <c r="B16" s="316" t="str">
        <f>'PLANILHA ORÇAMENTÁRIA'!D56</f>
        <v>REVESTIMENTO DE PAREDES</v>
      </c>
      <c r="C16" s="317">
        <f t="shared" si="0"/>
        <v>7.8494193420121025E-2</v>
      </c>
      <c r="D16" s="301">
        <f>'PLANILHA ORÇAMENTÁRIA'!H56</f>
        <v>16992.850000000002</v>
      </c>
    </row>
    <row r="17" spans="1:4" x14ac:dyDescent="0.25">
      <c r="A17" s="302" t="s">
        <v>280</v>
      </c>
      <c r="B17" s="316" t="str">
        <f>'PLANILHA ORÇAMENTÁRIA'!D62</f>
        <v>REVESTIMENTO DE PISOS</v>
      </c>
      <c r="C17" s="317">
        <f t="shared" si="0"/>
        <v>2.0178031372456273E-2</v>
      </c>
      <c r="D17" s="301">
        <f>'PLANILHA ORÇAMENTÁRIA'!H62</f>
        <v>4368.25</v>
      </c>
    </row>
    <row r="18" spans="1:4" x14ac:dyDescent="0.25">
      <c r="A18" s="302" t="s">
        <v>282</v>
      </c>
      <c r="B18" s="316" t="str">
        <f>'PLANILHA ORÇAMENTÁRIA'!D66</f>
        <v>INSTALAÇÕES HIDROSSANITÁRIAS</v>
      </c>
      <c r="C18" s="317">
        <f t="shared" si="0"/>
        <v>2.0505443691732805E-2</v>
      </c>
      <c r="D18" s="301">
        <f>'PLANILHA ORÇAMENTÁRIA'!H66</f>
        <v>4439.13</v>
      </c>
    </row>
    <row r="19" spans="1:4" x14ac:dyDescent="0.25">
      <c r="A19" s="302" t="s">
        <v>286</v>
      </c>
      <c r="B19" s="316" t="str">
        <f>'PLANILHA ORÇAMENTÁRIA'!D77</f>
        <v>INSTALAÇÕES ELÉTRICAS</v>
      </c>
      <c r="C19" s="317">
        <f t="shared" si="0"/>
        <v>6.4061629271696063E-2</v>
      </c>
      <c r="D19" s="301">
        <f>'PLANILHA ORÇAMENTÁRIA'!H77</f>
        <v>13868.41</v>
      </c>
    </row>
    <row r="20" spans="1:4" x14ac:dyDescent="0.25">
      <c r="A20" s="302" t="s">
        <v>294</v>
      </c>
      <c r="B20" s="316" t="str">
        <f>'PLANILHA ORÇAMENTÁRIA'!D87</f>
        <v xml:space="preserve">APARELHOS SANITÁRIOS </v>
      </c>
      <c r="C20" s="317">
        <f t="shared" si="0"/>
        <v>3.4742936984584277E-2</v>
      </c>
      <c r="D20" s="301">
        <f>'PLANILHA ORÇAMENTÁRIA'!H87</f>
        <v>7521.34</v>
      </c>
    </row>
    <row r="21" spans="1:4" x14ac:dyDescent="0.25">
      <c r="A21" s="302" t="s">
        <v>299</v>
      </c>
      <c r="B21" s="316" t="str">
        <f>'PLANILHA ORÇAMENTÁRIA'!D102</f>
        <v>APARELHOS ELÉTRICOS</v>
      </c>
      <c r="C21" s="317">
        <f t="shared" si="0"/>
        <v>3.6751432336511874E-2</v>
      </c>
      <c r="D21" s="301">
        <f>'PLANILHA ORÇAMENTÁRIA'!H102</f>
        <v>7956.15</v>
      </c>
    </row>
    <row r="22" spans="1:4" x14ac:dyDescent="0.25">
      <c r="A22" s="302" t="s">
        <v>306</v>
      </c>
      <c r="B22" s="316" t="str">
        <f>'PLANILHA ORÇAMENTÁRIA'!D111</f>
        <v>PAISAGISMO</v>
      </c>
      <c r="C22" s="317">
        <f t="shared" si="0"/>
        <v>6.0892778747614626E-3</v>
      </c>
      <c r="D22" s="301">
        <f>'PLANILHA ORÇAMENTÁRIA'!H111</f>
        <v>1318.24</v>
      </c>
    </row>
    <row r="23" spans="1:4" x14ac:dyDescent="0.25">
      <c r="A23" s="302" t="s">
        <v>309</v>
      </c>
      <c r="B23" s="316" t="str">
        <f>'PLANILHA ORÇAMENTÁRIA'!D115</f>
        <v xml:space="preserve">PINTURA </v>
      </c>
      <c r="C23" s="317">
        <f t="shared" si="0"/>
        <v>0.21061961488033565</v>
      </c>
      <c r="D23" s="301">
        <f>'PLANILHA ORÇAMENTÁRIA'!H115</f>
        <v>45596.08</v>
      </c>
    </row>
    <row r="24" spans="1:4" x14ac:dyDescent="0.25">
      <c r="A24" s="302" t="s">
        <v>313</v>
      </c>
      <c r="B24" s="316" t="str">
        <f>'PLANILHA ORÇAMENTÁRIA'!D125</f>
        <v xml:space="preserve">SERVIÇOS COMPLEMENTARES </v>
      </c>
      <c r="C24" s="317">
        <f t="shared" si="0"/>
        <v>3.1340675844066007E-3</v>
      </c>
      <c r="D24" s="301">
        <f>'PLANILHA ORÇAMENTÁRIA'!H125</f>
        <v>678.48</v>
      </c>
    </row>
    <row r="25" spans="1:4" x14ac:dyDescent="0.25">
      <c r="A25" s="381" t="s">
        <v>38</v>
      </c>
      <c r="B25" s="336" t="s">
        <v>39</v>
      </c>
      <c r="C25" s="382">
        <f>SUM(D9:D24)</f>
        <v>216485.43999999997</v>
      </c>
      <c r="D25" s="382"/>
    </row>
    <row r="26" spans="1:4" x14ac:dyDescent="0.25">
      <c r="A26" s="381"/>
      <c r="B26" s="336" t="s">
        <v>40</v>
      </c>
      <c r="C26" s="383">
        <v>1539.94</v>
      </c>
      <c r="D26" s="383"/>
    </row>
    <row r="27" spans="1:4" x14ac:dyDescent="0.25">
      <c r="A27" s="381"/>
      <c r="B27" s="336" t="s">
        <v>41</v>
      </c>
      <c r="C27" s="384">
        <f>C25/C26</f>
        <v>140.58043819889085</v>
      </c>
      <c r="D27" s="384"/>
    </row>
    <row r="28" spans="1:4" x14ac:dyDescent="0.25">
      <c r="A28" s="379"/>
      <c r="B28" s="379"/>
      <c r="C28" s="379"/>
      <c r="D28" s="379"/>
    </row>
    <row r="29" spans="1:4" x14ac:dyDescent="0.25">
      <c r="A29" s="379"/>
      <c r="B29" s="379"/>
      <c r="C29" s="379"/>
      <c r="D29" s="379"/>
    </row>
    <row r="30" spans="1:4" x14ac:dyDescent="0.25">
      <c r="A30" s="379"/>
      <c r="B30" s="379"/>
      <c r="C30" s="379"/>
      <c r="D30" s="379"/>
    </row>
    <row r="31" spans="1:4" x14ac:dyDescent="0.25">
      <c r="A31" s="379"/>
      <c r="B31" s="379"/>
      <c r="C31" s="379"/>
      <c r="D31" s="379"/>
    </row>
    <row r="32" spans="1:4" x14ac:dyDescent="0.25">
      <c r="A32" s="379"/>
      <c r="B32" s="379"/>
      <c r="C32" s="379"/>
      <c r="D32" s="379"/>
    </row>
    <row r="33" spans="1:4" x14ac:dyDescent="0.25">
      <c r="A33" s="379"/>
      <c r="B33" s="379"/>
      <c r="C33" s="379"/>
      <c r="D33" s="379"/>
    </row>
    <row r="34" spans="1:4" x14ac:dyDescent="0.25">
      <c r="A34" s="379"/>
      <c r="B34" s="379"/>
      <c r="C34" s="379"/>
      <c r="D34" s="379"/>
    </row>
    <row r="35" spans="1:4" x14ac:dyDescent="0.25">
      <c r="A35" s="379"/>
      <c r="B35" s="379"/>
      <c r="C35" s="379"/>
      <c r="D35" s="379"/>
    </row>
    <row r="36" spans="1:4" x14ac:dyDescent="0.25">
      <c r="A36" s="379"/>
      <c r="B36" s="379"/>
      <c r="C36" s="379"/>
      <c r="D36" s="379"/>
    </row>
    <row r="37" spans="1:4" x14ac:dyDescent="0.25">
      <c r="A37" s="379"/>
      <c r="B37" s="379"/>
      <c r="C37" s="379"/>
      <c r="D37" s="379"/>
    </row>
    <row r="38" spans="1:4" x14ac:dyDescent="0.25">
      <c r="A38" s="379"/>
      <c r="B38" s="379"/>
      <c r="C38" s="379"/>
      <c r="D38" s="379"/>
    </row>
    <row r="39" spans="1:4" x14ac:dyDescent="0.25">
      <c r="A39" s="379"/>
      <c r="B39" s="379"/>
      <c r="C39" s="379"/>
      <c r="D39" s="379"/>
    </row>
    <row r="40" spans="1:4" x14ac:dyDescent="0.25">
      <c r="A40" s="5"/>
      <c r="B40" s="5"/>
      <c r="C40" s="5"/>
      <c r="D40" s="5"/>
    </row>
    <row r="41" spans="1:4" x14ac:dyDescent="0.25">
      <c r="A41" s="5"/>
      <c r="B41" s="5"/>
      <c r="C41" s="5"/>
      <c r="D41" s="5"/>
    </row>
    <row r="42" spans="1:4" x14ac:dyDescent="0.25">
      <c r="A42" s="5"/>
      <c r="B42" s="380"/>
      <c r="C42" s="380"/>
      <c r="D42" s="5"/>
    </row>
    <row r="43" spans="1:4" x14ac:dyDescent="0.25">
      <c r="A43" s="5"/>
      <c r="B43" s="380"/>
      <c r="C43" s="380"/>
      <c r="D43" s="5"/>
    </row>
    <row r="44" spans="1:4" x14ac:dyDescent="0.25">
      <c r="A44" s="5"/>
      <c r="B44" s="5"/>
      <c r="C44" s="5"/>
      <c r="D44" s="5"/>
    </row>
    <row r="45" spans="1:4" x14ac:dyDescent="0.25">
      <c r="A45" s="5"/>
      <c r="B45" s="5"/>
      <c r="C45" s="5"/>
      <c r="D45" s="5"/>
    </row>
    <row r="46" spans="1:4" x14ac:dyDescent="0.25">
      <c r="A46" s="5"/>
      <c r="B46" s="5"/>
      <c r="C46" s="5"/>
      <c r="D46" s="5"/>
    </row>
    <row r="47" spans="1:4" x14ac:dyDescent="0.25">
      <c r="A47" s="5"/>
      <c r="B47" s="5"/>
      <c r="C47" s="5"/>
      <c r="D47" s="5"/>
    </row>
    <row r="48" spans="1:4" x14ac:dyDescent="0.25">
      <c r="A48" s="5"/>
      <c r="B48" s="5"/>
      <c r="C48" s="5"/>
      <c r="D48" s="5"/>
    </row>
    <row r="49" spans="1:4" x14ac:dyDescent="0.25">
      <c r="A49" s="5"/>
      <c r="B49" s="5"/>
      <c r="C49" s="5"/>
      <c r="D49" s="5"/>
    </row>
    <row r="50" spans="1:4" x14ac:dyDescent="0.25">
      <c r="A50" s="5"/>
      <c r="B50" s="5"/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5"/>
      <c r="B53" s="5"/>
      <c r="C53" s="5"/>
      <c r="D53" s="5"/>
    </row>
    <row r="54" spans="1:4" x14ac:dyDescent="0.25">
      <c r="A54" s="5"/>
      <c r="B54" s="5"/>
      <c r="C54" s="5"/>
      <c r="D54" s="5"/>
    </row>
    <row r="55" spans="1:4" x14ac:dyDescent="0.25">
      <c r="A55" s="5"/>
      <c r="B55" s="5"/>
      <c r="C55" s="5"/>
      <c r="D55" s="5"/>
    </row>
    <row r="56" spans="1:4" x14ac:dyDescent="0.25">
      <c r="A56" s="5"/>
      <c r="B56" s="5"/>
      <c r="C56" s="5"/>
      <c r="D56" s="5"/>
    </row>
    <row r="57" spans="1:4" x14ac:dyDescent="0.25">
      <c r="A57" s="5"/>
      <c r="B57" s="5"/>
      <c r="C57" s="5"/>
      <c r="D57" s="5"/>
    </row>
    <row r="58" spans="1:4" x14ac:dyDescent="0.25">
      <c r="A58" s="5"/>
      <c r="B58" s="5"/>
      <c r="C58" s="5"/>
      <c r="D58" s="5"/>
    </row>
    <row r="59" spans="1:4" x14ac:dyDescent="0.25">
      <c r="A59" s="5"/>
      <c r="B59" s="5"/>
      <c r="C59" s="5"/>
      <c r="D59" s="5"/>
    </row>
    <row r="60" spans="1:4" x14ac:dyDescent="0.25">
      <c r="A60" s="5"/>
      <c r="B60" s="5"/>
      <c r="C60" s="5"/>
      <c r="D60" s="5"/>
    </row>
    <row r="61" spans="1:4" x14ac:dyDescent="0.25">
      <c r="A61" s="5"/>
      <c r="B61" s="5"/>
      <c r="C61" s="5"/>
      <c r="D61" s="5"/>
    </row>
    <row r="62" spans="1:4" x14ac:dyDescent="0.25">
      <c r="A62" s="5"/>
      <c r="B62" s="5"/>
      <c r="C62" s="5"/>
      <c r="D62" s="5"/>
    </row>
    <row r="63" spans="1:4" x14ac:dyDescent="0.25">
      <c r="A63" s="5"/>
      <c r="B63" s="5"/>
      <c r="C63" s="5"/>
      <c r="D63" s="5"/>
    </row>
    <row r="64" spans="1:4" x14ac:dyDescent="0.25">
      <c r="A64" s="5"/>
      <c r="B64" s="5"/>
      <c r="C64" s="5"/>
      <c r="D64" s="5"/>
    </row>
    <row r="65" spans="1:4" x14ac:dyDescent="0.25">
      <c r="A65" s="5"/>
      <c r="B65" s="5"/>
      <c r="C65" s="5"/>
      <c r="D65" s="5"/>
    </row>
  </sheetData>
  <mergeCells count="15">
    <mergeCell ref="A28:D39"/>
    <mergeCell ref="B42:C42"/>
    <mergeCell ref="B43:C43"/>
    <mergeCell ref="A25:A27"/>
    <mergeCell ref="C25:D25"/>
    <mergeCell ref="C26:D26"/>
    <mergeCell ref="C27:D27"/>
    <mergeCell ref="A7:A8"/>
    <mergeCell ref="B7:B8"/>
    <mergeCell ref="C7:C8"/>
    <mergeCell ref="D7:D8"/>
    <mergeCell ref="A1:D2"/>
    <mergeCell ref="A3:D3"/>
    <mergeCell ref="A4:D4"/>
    <mergeCell ref="A5:D6"/>
  </mergeCells>
  <printOptions horizontalCentered="1"/>
  <pageMargins left="0.51181102362204722" right="0.51181102362204722" top="1.5748031496062993" bottom="0.78740157480314965" header="0.31496062992125984" footer="0.31496062992125984"/>
  <pageSetup paperSize="9" scale="98" orientation="portrait" verticalDpi="4294967293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view="pageBreakPreview" topLeftCell="A28" zoomScaleNormal="100" zoomScaleSheetLayoutView="100" zoomScalePageLayoutView="70" workbookViewId="0">
      <selection activeCell="F134" sqref="F134"/>
    </sheetView>
  </sheetViews>
  <sheetFormatPr defaultRowHeight="15" x14ac:dyDescent="0.25"/>
  <cols>
    <col min="1" max="1" width="9.140625" style="26"/>
    <col min="2" max="2" width="9.85546875" style="26" bestFit="1" customWidth="1"/>
    <col min="3" max="3" width="9.85546875" style="26" customWidth="1"/>
    <col min="4" max="4" width="85.5703125" style="27" customWidth="1"/>
    <col min="5" max="5" width="7.7109375" style="26" customWidth="1"/>
    <col min="6" max="7" width="10.7109375" style="28" customWidth="1"/>
    <col min="8" max="8" width="13.5703125" style="29" customWidth="1"/>
    <col min="9" max="9" width="9.140625" style="25"/>
    <col min="10" max="10" width="18.42578125" style="25" customWidth="1"/>
    <col min="11" max="16384" width="9.140625" style="25"/>
  </cols>
  <sheetData>
    <row r="1" spans="1:10" s="22" customFormat="1" ht="30" customHeight="1" x14ac:dyDescent="0.25">
      <c r="A1" s="645" t="s">
        <v>627</v>
      </c>
      <c r="B1" s="645"/>
      <c r="C1" s="645"/>
      <c r="D1" s="645"/>
      <c r="E1" s="637" t="s">
        <v>8</v>
      </c>
      <c r="F1" s="637"/>
      <c r="G1" s="637"/>
      <c r="H1" s="637"/>
    </row>
    <row r="2" spans="1:10" s="22" customFormat="1" ht="15.75" customHeight="1" x14ac:dyDescent="0.25">
      <c r="A2" s="645"/>
      <c r="B2" s="645"/>
      <c r="C2" s="645"/>
      <c r="D2" s="645"/>
      <c r="E2" s="646" t="s">
        <v>648</v>
      </c>
      <c r="F2" s="646"/>
      <c r="G2" s="646"/>
      <c r="H2" s="646"/>
      <c r="I2" s="504"/>
    </row>
    <row r="3" spans="1:10" s="22" customFormat="1" x14ac:dyDescent="0.25">
      <c r="A3" s="647" t="s">
        <v>649</v>
      </c>
      <c r="B3" s="647"/>
      <c r="C3" s="647"/>
      <c r="D3" s="647"/>
      <c r="E3" s="648" t="s">
        <v>650</v>
      </c>
      <c r="F3" s="648"/>
      <c r="G3" s="648"/>
      <c r="H3" s="648"/>
      <c r="I3" s="504"/>
    </row>
    <row r="4" spans="1:10" s="22" customFormat="1" x14ac:dyDescent="0.25">
      <c r="A4" s="647" t="s">
        <v>651</v>
      </c>
      <c r="B4" s="647"/>
      <c r="C4" s="647"/>
      <c r="D4" s="647"/>
      <c r="E4" s="649" t="s">
        <v>652</v>
      </c>
      <c r="F4" s="650"/>
      <c r="G4" s="651" t="s">
        <v>653</v>
      </c>
      <c r="H4" s="652"/>
    </row>
    <row r="5" spans="1:10" s="22" customFormat="1" x14ac:dyDescent="0.25">
      <c r="A5" s="653"/>
      <c r="B5" s="653"/>
      <c r="C5" s="653"/>
      <c r="D5" s="653"/>
      <c r="E5" s="653"/>
      <c r="F5" s="653"/>
      <c r="G5" s="653"/>
      <c r="H5" s="653"/>
    </row>
    <row r="6" spans="1:10" s="4" customFormat="1" x14ac:dyDescent="0.25">
      <c r="A6" s="654" t="s">
        <v>0</v>
      </c>
      <c r="B6" s="654"/>
      <c r="C6" s="654" t="s">
        <v>3</v>
      </c>
      <c r="D6" s="654" t="s">
        <v>68</v>
      </c>
      <c r="E6" s="654" t="s">
        <v>4</v>
      </c>
      <c r="F6" s="655" t="s">
        <v>5</v>
      </c>
      <c r="G6" s="655" t="s">
        <v>6</v>
      </c>
      <c r="H6" s="656" t="s">
        <v>7</v>
      </c>
    </row>
    <row r="7" spans="1:10" s="22" customFormat="1" x14ac:dyDescent="0.25">
      <c r="A7" s="657" t="s">
        <v>1</v>
      </c>
      <c r="B7" s="657" t="s">
        <v>2</v>
      </c>
      <c r="C7" s="654"/>
      <c r="D7" s="654"/>
      <c r="E7" s="654"/>
      <c r="F7" s="655"/>
      <c r="G7" s="655"/>
      <c r="H7" s="656"/>
      <c r="I7" s="23"/>
    </row>
    <row r="8" spans="1:10" s="17" customFormat="1" x14ac:dyDescent="0.25">
      <c r="A8" s="427"/>
      <c r="B8" s="427"/>
      <c r="C8" s="352" t="s">
        <v>9</v>
      </c>
      <c r="D8" s="658" t="s">
        <v>10</v>
      </c>
      <c r="E8" s="659"/>
      <c r="F8" s="659"/>
      <c r="G8" s="660"/>
      <c r="H8" s="661">
        <f>H9</f>
        <v>13354.269999999999</v>
      </c>
    </row>
    <row r="9" spans="1:10" s="22" customFormat="1" x14ac:dyDescent="0.25">
      <c r="A9" s="662"/>
      <c r="B9" s="662"/>
      <c r="C9" s="663" t="s">
        <v>252</v>
      </c>
      <c r="D9" s="664" t="s">
        <v>69</v>
      </c>
      <c r="E9" s="665"/>
      <c r="F9" s="665"/>
      <c r="G9" s="666"/>
      <c r="H9" s="667">
        <f>SUM(H10:H24)</f>
        <v>13354.269999999999</v>
      </c>
      <c r="J9" s="24"/>
    </row>
    <row r="10" spans="1:10" s="22" customFormat="1" x14ac:dyDescent="0.25">
      <c r="A10" s="668" t="s">
        <v>75</v>
      </c>
      <c r="B10" s="668">
        <v>97666</v>
      </c>
      <c r="C10" s="668" t="s">
        <v>253</v>
      </c>
      <c r="D10" s="669" t="s">
        <v>403</v>
      </c>
      <c r="E10" s="668" t="s">
        <v>56</v>
      </c>
      <c r="F10" s="670">
        <f>'MEMÓRIA DE CÁLCULO'!L8</f>
        <v>10</v>
      </c>
      <c r="G10" s="671">
        <v>7.26</v>
      </c>
      <c r="H10" s="671">
        <f>ROUND(G10*F10,2)</f>
        <v>72.599999999999994</v>
      </c>
    </row>
    <row r="11" spans="1:10" s="22" customFormat="1" x14ac:dyDescent="0.25">
      <c r="A11" s="672" t="s">
        <v>64</v>
      </c>
      <c r="B11" s="672">
        <v>10323</v>
      </c>
      <c r="C11" s="668" t="s">
        <v>354</v>
      </c>
      <c r="D11" s="673" t="s">
        <v>70</v>
      </c>
      <c r="E11" s="668" t="s">
        <v>56</v>
      </c>
      <c r="F11" s="670">
        <f>'MEMÓRIA DE CÁLCULO'!L12</f>
        <v>10</v>
      </c>
      <c r="G11" s="674">
        <v>8.5500000000000007</v>
      </c>
      <c r="H11" s="671">
        <f t="shared" ref="H11:H24" si="0">ROUND(G11*F11,2)</f>
        <v>85.5</v>
      </c>
    </row>
    <row r="12" spans="1:10" s="22" customFormat="1" x14ac:dyDescent="0.25">
      <c r="A12" s="672" t="s">
        <v>64</v>
      </c>
      <c r="B12" s="672">
        <v>10214</v>
      </c>
      <c r="C12" s="668" t="s">
        <v>355</v>
      </c>
      <c r="D12" s="673" t="s">
        <v>77</v>
      </c>
      <c r="E12" s="668" t="s">
        <v>11</v>
      </c>
      <c r="F12" s="670">
        <f>'MEMÓRIA DE CÁLCULO'!L16</f>
        <v>8.7200000000000006</v>
      </c>
      <c r="G12" s="674">
        <v>12.4</v>
      </c>
      <c r="H12" s="671">
        <f t="shared" si="0"/>
        <v>108.13</v>
      </c>
    </row>
    <row r="13" spans="1:10" s="22" customFormat="1" x14ac:dyDescent="0.25">
      <c r="A13" s="675" t="s">
        <v>157</v>
      </c>
      <c r="B13" s="675"/>
      <c r="C13" s="668" t="s">
        <v>356</v>
      </c>
      <c r="D13" s="673" t="s">
        <v>176</v>
      </c>
      <c r="E13" s="668" t="s">
        <v>11</v>
      </c>
      <c r="F13" s="670">
        <f>'MEMÓRIA DE CÁLCULO'!L22</f>
        <v>25.299999999999997</v>
      </c>
      <c r="G13" s="674">
        <v>8.4600000000000009</v>
      </c>
      <c r="H13" s="671">
        <f t="shared" si="0"/>
        <v>214.04</v>
      </c>
    </row>
    <row r="14" spans="1:10" s="22" customFormat="1" x14ac:dyDescent="0.25">
      <c r="A14" s="672" t="s">
        <v>75</v>
      </c>
      <c r="B14" s="672">
        <v>97665</v>
      </c>
      <c r="C14" s="668" t="s">
        <v>357</v>
      </c>
      <c r="D14" s="673" t="s">
        <v>404</v>
      </c>
      <c r="E14" s="668" t="s">
        <v>56</v>
      </c>
      <c r="F14" s="670">
        <f>'MEMÓRIA DE CÁLCULO'!L26</f>
        <v>23</v>
      </c>
      <c r="G14" s="674">
        <v>1.06</v>
      </c>
      <c r="H14" s="671">
        <f t="shared" si="0"/>
        <v>24.38</v>
      </c>
    </row>
    <row r="15" spans="1:10" s="22" customFormat="1" x14ac:dyDescent="0.25">
      <c r="A15" s="675" t="s">
        <v>172</v>
      </c>
      <c r="B15" s="675"/>
      <c r="C15" s="668" t="s">
        <v>358</v>
      </c>
      <c r="D15" s="673" t="s">
        <v>204</v>
      </c>
      <c r="E15" s="668" t="s">
        <v>56</v>
      </c>
      <c r="F15" s="670">
        <f>'MEMÓRIA DE CÁLCULO'!L38</f>
        <v>2</v>
      </c>
      <c r="G15" s="674">
        <v>0.95</v>
      </c>
      <c r="H15" s="671">
        <f>ROUND(G15*F15,2)</f>
        <v>1.9</v>
      </c>
    </row>
    <row r="16" spans="1:10" s="22" customFormat="1" x14ac:dyDescent="0.25">
      <c r="A16" s="672" t="s">
        <v>64</v>
      </c>
      <c r="B16" s="672">
        <v>10202</v>
      </c>
      <c r="C16" s="668" t="s">
        <v>421</v>
      </c>
      <c r="D16" s="676" t="s">
        <v>71</v>
      </c>
      <c r="E16" s="672" t="s">
        <v>11</v>
      </c>
      <c r="F16" s="670">
        <f>'MEMÓRIA DE CÁLCULO'!L41</f>
        <v>60.61</v>
      </c>
      <c r="G16" s="674">
        <v>10.84</v>
      </c>
      <c r="H16" s="671">
        <f t="shared" si="0"/>
        <v>657.01</v>
      </c>
      <c r="J16" s="24"/>
    </row>
    <row r="17" spans="1:8" x14ac:dyDescent="0.25">
      <c r="A17" s="672" t="s">
        <v>75</v>
      </c>
      <c r="B17" s="672">
        <v>97633</v>
      </c>
      <c r="C17" s="668" t="s">
        <v>359</v>
      </c>
      <c r="D17" s="676" t="s">
        <v>405</v>
      </c>
      <c r="E17" s="672" t="s">
        <v>11</v>
      </c>
      <c r="F17" s="670">
        <f>'MEMÓRIA DE CÁLCULO'!L46</f>
        <v>275.95000000000005</v>
      </c>
      <c r="G17" s="674">
        <v>18.77</v>
      </c>
      <c r="H17" s="671">
        <f t="shared" si="0"/>
        <v>5179.58</v>
      </c>
    </row>
    <row r="18" spans="1:8" x14ac:dyDescent="0.25">
      <c r="A18" s="672" t="s">
        <v>64</v>
      </c>
      <c r="B18" s="672">
        <v>10209</v>
      </c>
      <c r="C18" s="668" t="s">
        <v>360</v>
      </c>
      <c r="D18" s="676" t="s">
        <v>72</v>
      </c>
      <c r="E18" s="672" t="s">
        <v>47</v>
      </c>
      <c r="F18" s="670">
        <f>'MEMÓRIA DE CÁLCULO'!L54</f>
        <v>7.3844999999999992</v>
      </c>
      <c r="G18" s="674">
        <v>46.49</v>
      </c>
      <c r="H18" s="671">
        <f t="shared" si="0"/>
        <v>343.31</v>
      </c>
    </row>
    <row r="19" spans="1:8" x14ac:dyDescent="0.25">
      <c r="A19" s="672" t="s">
        <v>64</v>
      </c>
      <c r="B19" s="672">
        <v>10319</v>
      </c>
      <c r="C19" s="668" t="s">
        <v>361</v>
      </c>
      <c r="D19" s="676" t="s">
        <v>175</v>
      </c>
      <c r="E19" s="672" t="s">
        <v>11</v>
      </c>
      <c r="F19" s="670">
        <f>'MEMÓRIA DE CÁLCULO'!L64</f>
        <v>84.460000000000008</v>
      </c>
      <c r="G19" s="674">
        <v>14.27</v>
      </c>
      <c r="H19" s="671">
        <f t="shared" si="0"/>
        <v>1205.24</v>
      </c>
    </row>
    <row r="20" spans="1:8" x14ac:dyDescent="0.25">
      <c r="A20" s="672" t="s">
        <v>75</v>
      </c>
      <c r="B20" s="672">
        <v>97640</v>
      </c>
      <c r="C20" s="668" t="s">
        <v>362</v>
      </c>
      <c r="D20" s="676" t="s">
        <v>654</v>
      </c>
      <c r="E20" s="672" t="s">
        <v>11</v>
      </c>
      <c r="F20" s="670">
        <f>'MEMÓRIA DE CÁLCULO'!L73</f>
        <v>343.67000000000007</v>
      </c>
      <c r="G20" s="674">
        <v>1.54</v>
      </c>
      <c r="H20" s="671">
        <f t="shared" si="0"/>
        <v>529.25</v>
      </c>
    </row>
    <row r="21" spans="1:8" ht="30" x14ac:dyDescent="0.25">
      <c r="A21" s="672" t="s">
        <v>75</v>
      </c>
      <c r="B21" s="672">
        <v>97647</v>
      </c>
      <c r="C21" s="668" t="s">
        <v>363</v>
      </c>
      <c r="D21" s="676" t="s">
        <v>406</v>
      </c>
      <c r="E21" s="672" t="s">
        <v>11</v>
      </c>
      <c r="F21" s="670">
        <f>'MEMÓRIA DE CÁLCULO'!L85</f>
        <v>413.86</v>
      </c>
      <c r="G21" s="674">
        <v>2.75</v>
      </c>
      <c r="H21" s="671">
        <f t="shared" si="0"/>
        <v>1138.1199999999999</v>
      </c>
    </row>
    <row r="22" spans="1:8" x14ac:dyDescent="0.25">
      <c r="A22" s="677" t="s">
        <v>64</v>
      </c>
      <c r="B22" s="677">
        <v>10210</v>
      </c>
      <c r="C22" s="668" t="s">
        <v>364</v>
      </c>
      <c r="D22" s="678" t="s">
        <v>73</v>
      </c>
      <c r="E22" s="677" t="s">
        <v>47</v>
      </c>
      <c r="F22" s="679">
        <f>'MEMÓRIA DE CÁLCULO'!L88</f>
        <v>6.66</v>
      </c>
      <c r="G22" s="680">
        <v>218.26</v>
      </c>
      <c r="H22" s="671">
        <f t="shared" si="0"/>
        <v>1453.61</v>
      </c>
    </row>
    <row r="23" spans="1:8" x14ac:dyDescent="0.25">
      <c r="A23" s="677" t="s">
        <v>64</v>
      </c>
      <c r="B23" s="677">
        <v>10208</v>
      </c>
      <c r="C23" s="668" t="s">
        <v>365</v>
      </c>
      <c r="D23" s="678" t="s">
        <v>589</v>
      </c>
      <c r="E23" s="677" t="s">
        <v>11</v>
      </c>
      <c r="F23" s="679">
        <f>'MEMÓRIA DE CÁLCULO'!L90</f>
        <v>217.83500000000001</v>
      </c>
      <c r="G23" s="680">
        <v>7.74</v>
      </c>
      <c r="H23" s="671">
        <f t="shared" si="0"/>
        <v>1686.04</v>
      </c>
    </row>
    <row r="24" spans="1:8" x14ac:dyDescent="0.25">
      <c r="A24" s="672" t="s">
        <v>64</v>
      </c>
      <c r="B24" s="672">
        <v>10246</v>
      </c>
      <c r="C24" s="668" t="s">
        <v>590</v>
      </c>
      <c r="D24" s="676" t="s">
        <v>462</v>
      </c>
      <c r="E24" s="672" t="s">
        <v>11</v>
      </c>
      <c r="F24" s="670">
        <f>'MEMÓRIA DE CÁLCULO'!L98</f>
        <v>225.27999999999997</v>
      </c>
      <c r="G24" s="674">
        <v>2.91</v>
      </c>
      <c r="H24" s="671">
        <f t="shared" si="0"/>
        <v>655.56</v>
      </c>
    </row>
    <row r="25" spans="1:8" s="45" customFormat="1" x14ac:dyDescent="0.25">
      <c r="A25" s="681"/>
      <c r="B25" s="681"/>
      <c r="C25" s="682" t="s">
        <v>12</v>
      </c>
      <c r="D25" s="683" t="s">
        <v>368</v>
      </c>
      <c r="E25" s="684"/>
      <c r="F25" s="684"/>
      <c r="G25" s="685"/>
      <c r="H25" s="686">
        <f>SUM(H26,H28,H32,H35)</f>
        <v>45423.01999999999</v>
      </c>
    </row>
    <row r="26" spans="1:8" x14ac:dyDescent="0.25">
      <c r="A26" s="687"/>
      <c r="B26" s="687"/>
      <c r="C26" s="688" t="s">
        <v>254</v>
      </c>
      <c r="D26" s="689" t="s">
        <v>76</v>
      </c>
      <c r="E26" s="690"/>
      <c r="F26" s="690"/>
      <c r="G26" s="691"/>
      <c r="H26" s="692">
        <f>H27</f>
        <v>53.2</v>
      </c>
    </row>
    <row r="27" spans="1:8" ht="45" x14ac:dyDescent="0.25">
      <c r="A27" s="672" t="s">
        <v>64</v>
      </c>
      <c r="B27" s="672">
        <v>50606</v>
      </c>
      <c r="C27" s="672" t="s">
        <v>255</v>
      </c>
      <c r="D27" s="673" t="s">
        <v>418</v>
      </c>
      <c r="E27" s="672" t="s">
        <v>11</v>
      </c>
      <c r="F27" s="693">
        <f>'MEMÓRIA DE CÁLCULO'!L106</f>
        <v>1.095</v>
      </c>
      <c r="G27" s="674">
        <v>48.58</v>
      </c>
      <c r="H27" s="674">
        <f>ROUND(G27*F27,2)</f>
        <v>53.2</v>
      </c>
    </row>
    <row r="28" spans="1:8" x14ac:dyDescent="0.25">
      <c r="A28" s="687"/>
      <c r="B28" s="687"/>
      <c r="C28" s="688" t="s">
        <v>257</v>
      </c>
      <c r="D28" s="689" t="s">
        <v>367</v>
      </c>
      <c r="E28" s="694"/>
      <c r="F28" s="694"/>
      <c r="G28" s="695"/>
      <c r="H28" s="692">
        <f>SUM(H29:H31)</f>
        <v>44638.99</v>
      </c>
    </row>
    <row r="29" spans="1:8" ht="30" x14ac:dyDescent="0.25">
      <c r="A29" s="672" t="s">
        <v>75</v>
      </c>
      <c r="B29" s="672">
        <v>79627</v>
      </c>
      <c r="C29" s="672" t="s">
        <v>256</v>
      </c>
      <c r="D29" s="673" t="s">
        <v>419</v>
      </c>
      <c r="E29" s="672" t="s">
        <v>11</v>
      </c>
      <c r="F29" s="693">
        <f>'MEMÓRIA DE CÁLCULO'!L110</f>
        <v>25.990000000000002</v>
      </c>
      <c r="G29" s="674">
        <v>416.9</v>
      </c>
      <c r="H29" s="674">
        <f>ROUND(G29*F29,2)</f>
        <v>10835.23</v>
      </c>
    </row>
    <row r="30" spans="1:8" ht="30" x14ac:dyDescent="0.25">
      <c r="A30" s="672" t="s">
        <v>64</v>
      </c>
      <c r="B30" s="672">
        <v>50203</v>
      </c>
      <c r="C30" s="672" t="s">
        <v>369</v>
      </c>
      <c r="D30" s="673" t="s">
        <v>420</v>
      </c>
      <c r="E30" s="672" t="s">
        <v>56</v>
      </c>
      <c r="F30" s="693">
        <f>'MEMÓRIA DE CÁLCULO'!L113</f>
        <v>15</v>
      </c>
      <c r="G30" s="674">
        <v>355.89</v>
      </c>
      <c r="H30" s="674">
        <f>ROUND(G30*F30,2)</f>
        <v>5338.35</v>
      </c>
    </row>
    <row r="31" spans="1:8" ht="45" x14ac:dyDescent="0.25">
      <c r="A31" s="672" t="s">
        <v>64</v>
      </c>
      <c r="B31" s="672">
        <v>50202</v>
      </c>
      <c r="C31" s="672" t="s">
        <v>370</v>
      </c>
      <c r="D31" s="673" t="s">
        <v>366</v>
      </c>
      <c r="E31" s="672" t="s">
        <v>11</v>
      </c>
      <c r="F31" s="693">
        <f>'MEMÓRIA DE CÁLCULO'!L115</f>
        <v>282.05919999999998</v>
      </c>
      <c r="G31" s="674">
        <v>100.92</v>
      </c>
      <c r="H31" s="674">
        <f>ROUND(G31*F31,2)</f>
        <v>28465.41</v>
      </c>
    </row>
    <row r="32" spans="1:8" x14ac:dyDescent="0.25">
      <c r="A32" s="687"/>
      <c r="B32" s="687"/>
      <c r="C32" s="688" t="s">
        <v>258</v>
      </c>
      <c r="D32" s="689" t="s">
        <v>80</v>
      </c>
      <c r="E32" s="694"/>
      <c r="F32" s="694"/>
      <c r="G32" s="695"/>
      <c r="H32" s="692">
        <f>SUM(H33:H34)</f>
        <v>611.80999999999995</v>
      </c>
    </row>
    <row r="33" spans="1:8" x14ac:dyDescent="0.25">
      <c r="A33" s="677" t="s">
        <v>64</v>
      </c>
      <c r="B33" s="677">
        <v>142201</v>
      </c>
      <c r="C33" s="677" t="s">
        <v>259</v>
      </c>
      <c r="D33" s="696" t="s">
        <v>79</v>
      </c>
      <c r="E33" s="677" t="s">
        <v>52</v>
      </c>
      <c r="F33" s="697">
        <f>'MEMÓRIA DE CÁLCULO'!L124</f>
        <v>6.31</v>
      </c>
      <c r="G33" s="680">
        <v>9.9700000000000006</v>
      </c>
      <c r="H33" s="680">
        <f>ROUND(G33*F33,2)</f>
        <v>62.91</v>
      </c>
    </row>
    <row r="34" spans="1:8" ht="30" x14ac:dyDescent="0.25">
      <c r="A34" s="677" t="s">
        <v>64</v>
      </c>
      <c r="B34" s="677">
        <v>151601</v>
      </c>
      <c r="C34" s="677" t="s">
        <v>260</v>
      </c>
      <c r="D34" s="696" t="s">
        <v>83</v>
      </c>
      <c r="E34" s="677" t="s">
        <v>52</v>
      </c>
      <c r="F34" s="697">
        <v>55</v>
      </c>
      <c r="G34" s="680">
        <v>9.98</v>
      </c>
      <c r="H34" s="680">
        <f>ROUND(G34*F34,2)</f>
        <v>548.9</v>
      </c>
    </row>
    <row r="35" spans="1:8" s="46" customFormat="1" x14ac:dyDescent="0.25">
      <c r="A35" s="698"/>
      <c r="B35" s="698"/>
      <c r="C35" s="688" t="s">
        <v>261</v>
      </c>
      <c r="D35" s="699" t="s">
        <v>81</v>
      </c>
      <c r="E35" s="700"/>
      <c r="F35" s="700"/>
      <c r="G35" s="691"/>
      <c r="H35" s="692">
        <f>SUM(H36)</f>
        <v>119.02</v>
      </c>
    </row>
    <row r="36" spans="1:8" s="46" customFormat="1" ht="30" x14ac:dyDescent="0.25">
      <c r="A36" s="677" t="s">
        <v>64</v>
      </c>
      <c r="B36" s="677">
        <v>50301</v>
      </c>
      <c r="C36" s="677" t="s">
        <v>262</v>
      </c>
      <c r="D36" s="696" t="s">
        <v>82</v>
      </c>
      <c r="E36" s="677" t="s">
        <v>52</v>
      </c>
      <c r="F36" s="697">
        <f>'MEMÓRIA DE CÁLCULO'!L127</f>
        <v>11.4</v>
      </c>
      <c r="G36" s="680">
        <v>10.44</v>
      </c>
      <c r="H36" s="680">
        <f>ROUND(G36*F36,2)</f>
        <v>119.02</v>
      </c>
    </row>
    <row r="37" spans="1:8" s="46" customFormat="1" x14ac:dyDescent="0.25">
      <c r="A37" s="681"/>
      <c r="B37" s="681"/>
      <c r="C37" s="682" t="s">
        <v>13</v>
      </c>
      <c r="D37" s="683" t="s">
        <v>208</v>
      </c>
      <c r="E37" s="684"/>
      <c r="F37" s="684"/>
      <c r="G37" s="685"/>
      <c r="H37" s="686">
        <f>SUM(H38:H40)</f>
        <v>1642.1200000000001</v>
      </c>
    </row>
    <row r="38" spans="1:8" s="46" customFormat="1" ht="30" x14ac:dyDescent="0.25">
      <c r="A38" s="701" t="s">
        <v>64</v>
      </c>
      <c r="B38" s="701">
        <v>40705</v>
      </c>
      <c r="C38" s="701" t="s">
        <v>263</v>
      </c>
      <c r="D38" s="702" t="s">
        <v>218</v>
      </c>
      <c r="E38" s="701" t="s">
        <v>52</v>
      </c>
      <c r="F38" s="703">
        <f>'MEMÓRIA DE CÁLCULO'!L132</f>
        <v>22.21</v>
      </c>
      <c r="G38" s="704">
        <v>49.76</v>
      </c>
      <c r="H38" s="680">
        <f>ROUND(G38*F38,2)</f>
        <v>1105.17</v>
      </c>
    </row>
    <row r="39" spans="1:8" s="46" customFormat="1" x14ac:dyDescent="0.25">
      <c r="A39" s="705" t="s">
        <v>174</v>
      </c>
      <c r="B39" s="705"/>
      <c r="C39" s="677" t="s">
        <v>264</v>
      </c>
      <c r="D39" s="696" t="s">
        <v>212</v>
      </c>
      <c r="E39" s="677" t="s">
        <v>56</v>
      </c>
      <c r="F39" s="697">
        <f>'MEMÓRIA DE CÁLCULO'!L136</f>
        <v>10</v>
      </c>
      <c r="G39" s="680">
        <v>0.87</v>
      </c>
      <c r="H39" s="680">
        <f>ROUND(G39*F39,2)</f>
        <v>8.6999999999999993</v>
      </c>
    </row>
    <row r="40" spans="1:8" s="46" customFormat="1" x14ac:dyDescent="0.25">
      <c r="A40" s="635" t="s">
        <v>178</v>
      </c>
      <c r="B40" s="635"/>
      <c r="C40" s="677" t="s">
        <v>265</v>
      </c>
      <c r="D40" s="696" t="s">
        <v>215</v>
      </c>
      <c r="E40" s="677" t="s">
        <v>52</v>
      </c>
      <c r="F40" s="697">
        <f>'MEMÓRIA DE CÁLCULO'!L147</f>
        <v>25</v>
      </c>
      <c r="G40" s="680">
        <v>21.13</v>
      </c>
      <c r="H40" s="680">
        <f>ROUND(G40*F40,2)</f>
        <v>528.25</v>
      </c>
    </row>
    <row r="41" spans="1:8" x14ac:dyDescent="0.25">
      <c r="A41" s="681"/>
      <c r="B41" s="681"/>
      <c r="C41" s="682" t="s">
        <v>266</v>
      </c>
      <c r="D41" s="683" t="s">
        <v>84</v>
      </c>
      <c r="E41" s="684"/>
      <c r="F41" s="684"/>
      <c r="G41" s="685"/>
      <c r="H41" s="686">
        <f>SUM(H42:H44)</f>
        <v>8911.2899999999991</v>
      </c>
    </row>
    <row r="42" spans="1:8" ht="30" x14ac:dyDescent="0.25">
      <c r="A42" s="677" t="s">
        <v>64</v>
      </c>
      <c r="B42" s="677">
        <v>71701</v>
      </c>
      <c r="C42" s="677" t="s">
        <v>267</v>
      </c>
      <c r="D42" s="696" t="s">
        <v>148</v>
      </c>
      <c r="E42" s="677" t="s">
        <v>11</v>
      </c>
      <c r="F42" s="679">
        <f>'MEMÓRIA DE CÁLCULO'!L149</f>
        <v>6.12</v>
      </c>
      <c r="G42" s="680">
        <f>341.95*1.2654</f>
        <v>432.70353</v>
      </c>
      <c r="H42" s="674">
        <f t="shared" ref="H42:H43" si="1">ROUND(G42*F42,2)</f>
        <v>2648.15</v>
      </c>
    </row>
    <row r="43" spans="1:8" ht="30" x14ac:dyDescent="0.25">
      <c r="A43" s="677" t="s">
        <v>64</v>
      </c>
      <c r="B43" s="677">
        <v>71704</v>
      </c>
      <c r="C43" s="677" t="s">
        <v>268</v>
      </c>
      <c r="D43" s="696" t="s">
        <v>89</v>
      </c>
      <c r="E43" s="677" t="s">
        <v>11</v>
      </c>
      <c r="F43" s="679">
        <f>'MEMÓRIA DE CÁLCULO'!L152</f>
        <v>7.84</v>
      </c>
      <c r="G43" s="680">
        <f>543.61*1.2654</f>
        <v>687.884094</v>
      </c>
      <c r="H43" s="674">
        <f t="shared" si="1"/>
        <v>5393.01</v>
      </c>
    </row>
    <row r="44" spans="1:8" x14ac:dyDescent="0.25">
      <c r="A44" s="677" t="s">
        <v>64</v>
      </c>
      <c r="B44" s="672">
        <v>80102</v>
      </c>
      <c r="C44" s="677" t="s">
        <v>635</v>
      </c>
      <c r="D44" s="706" t="s">
        <v>159</v>
      </c>
      <c r="E44" s="672" t="s">
        <v>11</v>
      </c>
      <c r="F44" s="693">
        <f>'MEMÓRIA DE CÁLCULO'!L155</f>
        <v>6.95</v>
      </c>
      <c r="G44" s="674">
        <f>98.94*1.2654</f>
        <v>125.19867600000001</v>
      </c>
      <c r="H44" s="674">
        <f>ROUND(G44*F44,2)</f>
        <v>870.13</v>
      </c>
    </row>
    <row r="45" spans="1:8" x14ac:dyDescent="0.25">
      <c r="A45" s="681"/>
      <c r="B45" s="681"/>
      <c r="C45" s="682" t="s">
        <v>269</v>
      </c>
      <c r="D45" s="683" t="s">
        <v>90</v>
      </c>
      <c r="E45" s="684"/>
      <c r="F45" s="684"/>
      <c r="G45" s="685"/>
      <c r="H45" s="686">
        <f>SUM(H46:H50)</f>
        <v>25439.82</v>
      </c>
    </row>
    <row r="46" spans="1:8" ht="45" x14ac:dyDescent="0.25">
      <c r="A46" s="707" t="s">
        <v>53</v>
      </c>
      <c r="B46" s="707"/>
      <c r="C46" s="701" t="s">
        <v>270</v>
      </c>
      <c r="D46" s="702" t="s">
        <v>91</v>
      </c>
      <c r="E46" s="701" t="s">
        <v>11</v>
      </c>
      <c r="F46" s="703">
        <f>'MEMÓRIA DE CÁLCULO'!L160</f>
        <v>725.04</v>
      </c>
      <c r="G46" s="708">
        <f>3.23</f>
        <v>3.23</v>
      </c>
      <c r="H46" s="704">
        <f>ROUND(G46*F46,2)</f>
        <v>2341.88</v>
      </c>
    </row>
    <row r="47" spans="1:8" x14ac:dyDescent="0.25">
      <c r="A47" s="701" t="s">
        <v>75</v>
      </c>
      <c r="B47" s="701">
        <v>94227</v>
      </c>
      <c r="C47" s="701" t="s">
        <v>271</v>
      </c>
      <c r="D47" s="702" t="s">
        <v>239</v>
      </c>
      <c r="E47" s="701" t="s">
        <v>52</v>
      </c>
      <c r="F47" s="703">
        <f>'MEMÓRIA DE CÁLCULO'!L163</f>
        <v>41.61</v>
      </c>
      <c r="G47" s="708">
        <v>48.73</v>
      </c>
      <c r="H47" s="704">
        <f>ROUND(G47*F47,2)</f>
        <v>2027.66</v>
      </c>
    </row>
    <row r="48" spans="1:8" x14ac:dyDescent="0.25">
      <c r="A48" s="701" t="s">
        <v>64</v>
      </c>
      <c r="B48" s="701">
        <v>90302</v>
      </c>
      <c r="C48" s="701" t="s">
        <v>272</v>
      </c>
      <c r="D48" s="702" t="s">
        <v>219</v>
      </c>
      <c r="E48" s="701" t="s">
        <v>52</v>
      </c>
      <c r="F48" s="703">
        <f>'MEMÓRIA DE CÁLCULO'!L165</f>
        <v>75.22</v>
      </c>
      <c r="G48" s="708">
        <v>27.74</v>
      </c>
      <c r="H48" s="704">
        <f>ROUND(G48*F48,2)</f>
        <v>2086.6</v>
      </c>
    </row>
    <row r="49" spans="1:8" ht="30" x14ac:dyDescent="0.25">
      <c r="A49" s="701" t="s">
        <v>75</v>
      </c>
      <c r="B49" s="701">
        <v>71623</v>
      </c>
      <c r="C49" s="701" t="s">
        <v>273</v>
      </c>
      <c r="D49" s="702" t="s">
        <v>497</v>
      </c>
      <c r="E49" s="701" t="s">
        <v>52</v>
      </c>
      <c r="F49" s="703">
        <f>'MEMÓRIA DE CÁLCULO'!L167</f>
        <v>62.45</v>
      </c>
      <c r="G49" s="708">
        <v>32.14</v>
      </c>
      <c r="H49" s="704">
        <f t="shared" ref="H49:H50" si="2">ROUND(G49*F49,2)</f>
        <v>2007.14</v>
      </c>
    </row>
    <row r="50" spans="1:8" ht="45" x14ac:dyDescent="0.25">
      <c r="A50" s="701" t="s">
        <v>64</v>
      </c>
      <c r="B50" s="701">
        <v>200720</v>
      </c>
      <c r="C50" s="701" t="s">
        <v>496</v>
      </c>
      <c r="D50" s="702" t="s">
        <v>173</v>
      </c>
      <c r="E50" s="701" t="s">
        <v>11</v>
      </c>
      <c r="F50" s="703">
        <f>'MEMÓRIA DE CÁLCULO'!L169</f>
        <v>413.86</v>
      </c>
      <c r="G50" s="708">
        <v>41.02</v>
      </c>
      <c r="H50" s="704">
        <f t="shared" si="2"/>
        <v>16976.54</v>
      </c>
    </row>
    <row r="51" spans="1:8" x14ac:dyDescent="0.25">
      <c r="A51" s="681"/>
      <c r="B51" s="681"/>
      <c r="C51" s="682" t="s">
        <v>274</v>
      </c>
      <c r="D51" s="683" t="s">
        <v>167</v>
      </c>
      <c r="E51" s="684"/>
      <c r="F51" s="684"/>
      <c r="G51" s="685"/>
      <c r="H51" s="686">
        <f>SUM(H52:H53)</f>
        <v>2651.57</v>
      </c>
    </row>
    <row r="52" spans="1:8" x14ac:dyDescent="0.25">
      <c r="A52" s="672" t="s">
        <v>64</v>
      </c>
      <c r="B52" s="672">
        <v>200562</v>
      </c>
      <c r="C52" s="672" t="s">
        <v>275</v>
      </c>
      <c r="D52" s="706" t="s">
        <v>423</v>
      </c>
      <c r="E52" s="672" t="s">
        <v>56</v>
      </c>
      <c r="F52" s="693">
        <f>'MEMÓRIA DE CÁLCULO'!L173</f>
        <v>3</v>
      </c>
      <c r="G52" s="674">
        <v>323.63</v>
      </c>
      <c r="H52" s="704">
        <f>ROUND(G52*F52,2)</f>
        <v>970.89</v>
      </c>
    </row>
    <row r="53" spans="1:8" ht="30" x14ac:dyDescent="0.25">
      <c r="A53" s="677" t="s">
        <v>64</v>
      </c>
      <c r="B53" s="677">
        <v>210304</v>
      </c>
      <c r="C53" s="672" t="s">
        <v>276</v>
      </c>
      <c r="D53" s="696" t="s">
        <v>158</v>
      </c>
      <c r="E53" s="677" t="s">
        <v>52</v>
      </c>
      <c r="F53" s="697">
        <f>'MEMÓRIA DE CÁLCULO'!L177</f>
        <v>7.5</v>
      </c>
      <c r="G53" s="680">
        <v>224.09</v>
      </c>
      <c r="H53" s="680">
        <f>ROUND(G53*F53,2)</f>
        <v>1680.68</v>
      </c>
    </row>
    <row r="54" spans="1:8" x14ac:dyDescent="0.25">
      <c r="A54" s="709"/>
      <c r="B54" s="709"/>
      <c r="C54" s="710" t="s">
        <v>277</v>
      </c>
      <c r="D54" s="711" t="s">
        <v>85</v>
      </c>
      <c r="E54" s="712"/>
      <c r="F54" s="712"/>
      <c r="G54" s="712"/>
      <c r="H54" s="713">
        <f>H55</f>
        <v>16324.420000000002</v>
      </c>
    </row>
    <row r="55" spans="1:8" x14ac:dyDescent="0.25">
      <c r="A55" s="677" t="s">
        <v>75</v>
      </c>
      <c r="B55" s="677">
        <v>96111</v>
      </c>
      <c r="C55" s="677" t="s">
        <v>591</v>
      </c>
      <c r="D55" s="696" t="s">
        <v>601</v>
      </c>
      <c r="E55" s="677" t="s">
        <v>11</v>
      </c>
      <c r="F55" s="697">
        <f>'MEMÓRIA DE CÁLCULO'!L180</f>
        <v>342.95000000000005</v>
      </c>
      <c r="G55" s="680">
        <v>47.6</v>
      </c>
      <c r="H55" s="680">
        <f>G55*F55</f>
        <v>16324.420000000002</v>
      </c>
    </row>
    <row r="56" spans="1:8" x14ac:dyDescent="0.25">
      <c r="A56" s="681"/>
      <c r="B56" s="681"/>
      <c r="C56" s="682" t="s">
        <v>278</v>
      </c>
      <c r="D56" s="683" t="s">
        <v>87</v>
      </c>
      <c r="E56" s="684"/>
      <c r="F56" s="684"/>
      <c r="G56" s="685"/>
      <c r="H56" s="686">
        <f>SUM(H57:H61)</f>
        <v>16992.850000000002</v>
      </c>
    </row>
    <row r="57" spans="1:8" ht="30" x14ac:dyDescent="0.25">
      <c r="A57" s="672" t="s">
        <v>64</v>
      </c>
      <c r="B57" s="677">
        <v>120101</v>
      </c>
      <c r="C57" s="701" t="s">
        <v>279</v>
      </c>
      <c r="D57" s="702" t="s">
        <v>500</v>
      </c>
      <c r="E57" s="701" t="s">
        <v>11</v>
      </c>
      <c r="F57" s="703">
        <f>'MEMÓRIA DE CÁLCULO'!L193</f>
        <v>5.3541000000000007</v>
      </c>
      <c r="G57" s="704">
        <v>5.45</v>
      </c>
      <c r="H57" s="714">
        <f>ROUND(G57*F57,2)</f>
        <v>29.18</v>
      </c>
    </row>
    <row r="58" spans="1:8" ht="30" x14ac:dyDescent="0.25">
      <c r="A58" s="672" t="s">
        <v>64</v>
      </c>
      <c r="B58" s="715">
        <v>110302</v>
      </c>
      <c r="C58" s="701" t="s">
        <v>602</v>
      </c>
      <c r="D58" s="702" t="s">
        <v>92</v>
      </c>
      <c r="E58" s="715" t="s">
        <v>11</v>
      </c>
      <c r="F58" s="716">
        <f>'MEMÓRIA DE CÁLCULO'!L198</f>
        <v>222.04500000000002</v>
      </c>
      <c r="G58" s="714">
        <v>51.84</v>
      </c>
      <c r="H58" s="714">
        <f>ROUND(G58*F58,2)</f>
        <v>11510.81</v>
      </c>
    </row>
    <row r="59" spans="1:8" ht="30" x14ac:dyDescent="0.25">
      <c r="A59" s="672" t="s">
        <v>64</v>
      </c>
      <c r="B59" s="677">
        <v>130103</v>
      </c>
      <c r="C59" s="701" t="s">
        <v>603</v>
      </c>
      <c r="D59" s="696" t="s">
        <v>147</v>
      </c>
      <c r="E59" s="715" t="s">
        <v>11</v>
      </c>
      <c r="F59" s="693">
        <f>'MEMÓRIA DE CÁLCULO'!L210</f>
        <v>56.250000000000007</v>
      </c>
      <c r="G59" s="714">
        <v>18.84</v>
      </c>
      <c r="H59" s="714">
        <f>ROUND(G59*F59,2)</f>
        <v>1059.75</v>
      </c>
    </row>
    <row r="60" spans="1:8" ht="30" x14ac:dyDescent="0.25">
      <c r="A60" s="672" t="s">
        <v>75</v>
      </c>
      <c r="B60" s="672">
        <v>93393</v>
      </c>
      <c r="C60" s="701" t="s">
        <v>604</v>
      </c>
      <c r="D60" s="673" t="s">
        <v>408</v>
      </c>
      <c r="E60" s="672" t="s">
        <v>11</v>
      </c>
      <c r="F60" s="693">
        <f>'MEMÓRIA DE CÁLCULO'!L213</f>
        <v>66.075000000000003</v>
      </c>
      <c r="G60" s="674">
        <v>48.95</v>
      </c>
      <c r="H60" s="714">
        <f t="shared" ref="H60:H61" si="3">ROUND(G60*F60,2)</f>
        <v>3234.37</v>
      </c>
    </row>
    <row r="61" spans="1:8" x14ac:dyDescent="0.25">
      <c r="A61" s="672" t="s">
        <v>64</v>
      </c>
      <c r="B61" s="672">
        <v>130226</v>
      </c>
      <c r="C61" s="701" t="s">
        <v>605</v>
      </c>
      <c r="D61" s="706" t="s">
        <v>88</v>
      </c>
      <c r="E61" s="672" t="s">
        <v>11</v>
      </c>
      <c r="F61" s="693">
        <f>'MEMÓRIA DE CÁLCULO'!L218</f>
        <v>93.220999999999989</v>
      </c>
      <c r="G61" s="674">
        <v>12.43</v>
      </c>
      <c r="H61" s="714">
        <f t="shared" si="3"/>
        <v>1158.74</v>
      </c>
    </row>
    <row r="62" spans="1:8" x14ac:dyDescent="0.25">
      <c r="A62" s="681"/>
      <c r="B62" s="681"/>
      <c r="C62" s="682" t="s">
        <v>280</v>
      </c>
      <c r="D62" s="683" t="s">
        <v>100</v>
      </c>
      <c r="E62" s="684"/>
      <c r="F62" s="684"/>
      <c r="G62" s="685"/>
      <c r="H62" s="686">
        <f>H63</f>
        <v>4368.25</v>
      </c>
    </row>
    <row r="63" spans="1:8" x14ac:dyDescent="0.25">
      <c r="A63" s="698"/>
      <c r="B63" s="698"/>
      <c r="C63" s="688" t="s">
        <v>281</v>
      </c>
      <c r="D63" s="699" t="s">
        <v>146</v>
      </c>
      <c r="E63" s="700"/>
      <c r="F63" s="700"/>
      <c r="G63" s="691"/>
      <c r="H63" s="692">
        <f>SUM(H64:H65)</f>
        <v>4368.25</v>
      </c>
    </row>
    <row r="64" spans="1:8" ht="30" x14ac:dyDescent="0.25">
      <c r="A64" s="672" t="s">
        <v>64</v>
      </c>
      <c r="B64" s="677">
        <v>130103</v>
      </c>
      <c r="C64" s="677" t="s">
        <v>592</v>
      </c>
      <c r="D64" s="696" t="s">
        <v>147</v>
      </c>
      <c r="E64" s="677" t="s">
        <v>11</v>
      </c>
      <c r="F64" s="697">
        <f>'MEMÓRIA DE CÁLCULO'!L223</f>
        <v>52.44</v>
      </c>
      <c r="G64" s="680">
        <v>18.84</v>
      </c>
      <c r="H64" s="674">
        <f>ROUND(G64*F64,2)</f>
        <v>987.97</v>
      </c>
    </row>
    <row r="65" spans="1:8" ht="30" x14ac:dyDescent="0.25">
      <c r="A65" s="672" t="s">
        <v>64</v>
      </c>
      <c r="B65" s="672">
        <v>130219</v>
      </c>
      <c r="C65" s="677" t="s">
        <v>593</v>
      </c>
      <c r="D65" s="673" t="s">
        <v>101</v>
      </c>
      <c r="E65" s="672" t="s">
        <v>11</v>
      </c>
      <c r="F65" s="693">
        <f>'MEMÓRIA DE CÁLCULO'!L227</f>
        <v>52.44</v>
      </c>
      <c r="G65" s="674">
        <v>64.459999999999994</v>
      </c>
      <c r="H65" s="674">
        <f>ROUND(G65*F65,2)</f>
        <v>3380.28</v>
      </c>
    </row>
    <row r="66" spans="1:8" x14ac:dyDescent="0.25">
      <c r="A66" s="681"/>
      <c r="B66" s="681"/>
      <c r="C66" s="682" t="s">
        <v>282</v>
      </c>
      <c r="D66" s="683" t="s">
        <v>102</v>
      </c>
      <c r="E66" s="684"/>
      <c r="F66" s="684"/>
      <c r="G66" s="685"/>
      <c r="H66" s="686">
        <f>SUM(H67,H74)</f>
        <v>4439.13</v>
      </c>
    </row>
    <row r="67" spans="1:8" x14ac:dyDescent="0.25">
      <c r="A67" s="698"/>
      <c r="B67" s="698"/>
      <c r="C67" s="688" t="s">
        <v>283</v>
      </c>
      <c r="D67" s="699" t="s">
        <v>120</v>
      </c>
      <c r="E67" s="700"/>
      <c r="F67" s="700"/>
      <c r="G67" s="691"/>
      <c r="H67" s="692">
        <f>SUM(H68:H73)</f>
        <v>2395.27</v>
      </c>
    </row>
    <row r="68" spans="1:8" x14ac:dyDescent="0.25">
      <c r="A68" s="672" t="s">
        <v>64</v>
      </c>
      <c r="B68" s="672">
        <v>140701</v>
      </c>
      <c r="C68" s="672" t="s">
        <v>284</v>
      </c>
      <c r="D68" s="706" t="s">
        <v>103</v>
      </c>
      <c r="E68" s="672" t="s">
        <v>104</v>
      </c>
      <c r="F68" s="693">
        <f>'MEMÓRIA DE CÁLCULO'!L233</f>
        <v>1</v>
      </c>
      <c r="G68" s="674">
        <v>79.040000000000006</v>
      </c>
      <c r="H68" s="674">
        <f>ROUND(G68*F68,2)</f>
        <v>79.040000000000006</v>
      </c>
    </row>
    <row r="69" spans="1:8" x14ac:dyDescent="0.25">
      <c r="A69" s="675" t="s">
        <v>54</v>
      </c>
      <c r="B69" s="675"/>
      <c r="C69" s="672" t="s">
        <v>285</v>
      </c>
      <c r="D69" s="706" t="s">
        <v>105</v>
      </c>
      <c r="E69" s="672" t="s">
        <v>104</v>
      </c>
      <c r="F69" s="693">
        <f>'MEMÓRIA DE CÁLCULO'!L235</f>
        <v>1</v>
      </c>
      <c r="G69" s="674">
        <v>137.82</v>
      </c>
      <c r="H69" s="674">
        <f t="shared" ref="H69:H73" si="4">ROUND(G69*F69,2)</f>
        <v>137.82</v>
      </c>
    </row>
    <row r="70" spans="1:8" ht="45" x14ac:dyDescent="0.25">
      <c r="A70" s="677" t="s">
        <v>64</v>
      </c>
      <c r="B70" s="677">
        <v>140714</v>
      </c>
      <c r="C70" s="672" t="s">
        <v>594</v>
      </c>
      <c r="D70" s="696" t="s">
        <v>186</v>
      </c>
      <c r="E70" s="677" t="s">
        <v>56</v>
      </c>
      <c r="F70" s="697">
        <f>'MEMÓRIA DE CÁLCULO'!L237</f>
        <v>2</v>
      </c>
      <c r="G70" s="680">
        <v>655.96</v>
      </c>
      <c r="H70" s="680">
        <f t="shared" si="4"/>
        <v>1311.92</v>
      </c>
    </row>
    <row r="71" spans="1:8" x14ac:dyDescent="0.25">
      <c r="A71" s="672" t="s">
        <v>64</v>
      </c>
      <c r="B71" s="672">
        <v>140705</v>
      </c>
      <c r="C71" s="672" t="s">
        <v>606</v>
      </c>
      <c r="D71" s="706" t="s">
        <v>118</v>
      </c>
      <c r="E71" s="672" t="s">
        <v>104</v>
      </c>
      <c r="F71" s="693">
        <f>'MEMÓRIA DE CÁLCULO'!L239</f>
        <v>2</v>
      </c>
      <c r="G71" s="674">
        <v>95.79</v>
      </c>
      <c r="H71" s="674">
        <f t="shared" si="4"/>
        <v>191.58</v>
      </c>
    </row>
    <row r="72" spans="1:8" x14ac:dyDescent="0.25">
      <c r="A72" s="672" t="s">
        <v>64</v>
      </c>
      <c r="B72" s="672">
        <v>140706</v>
      </c>
      <c r="C72" s="672" t="s">
        <v>607</v>
      </c>
      <c r="D72" s="706" t="s">
        <v>119</v>
      </c>
      <c r="E72" s="672" t="s">
        <v>104</v>
      </c>
      <c r="F72" s="693">
        <f>'MEMÓRIA DE CÁLCULO'!L242</f>
        <v>5</v>
      </c>
      <c r="G72" s="674">
        <v>73.650000000000006</v>
      </c>
      <c r="H72" s="674">
        <f t="shared" si="4"/>
        <v>368.25</v>
      </c>
    </row>
    <row r="73" spans="1:8" ht="30" x14ac:dyDescent="0.25">
      <c r="A73" s="672" t="s">
        <v>64</v>
      </c>
      <c r="B73" s="672">
        <v>140710</v>
      </c>
      <c r="C73" s="672" t="s">
        <v>608</v>
      </c>
      <c r="D73" s="673" t="s">
        <v>123</v>
      </c>
      <c r="E73" s="672" t="s">
        <v>104</v>
      </c>
      <c r="F73" s="693">
        <f>'MEMÓRIA DE CÁLCULO'!L245</f>
        <v>2</v>
      </c>
      <c r="G73" s="674">
        <v>153.33000000000001</v>
      </c>
      <c r="H73" s="674">
        <f t="shared" si="4"/>
        <v>306.66000000000003</v>
      </c>
    </row>
    <row r="74" spans="1:8" x14ac:dyDescent="0.25">
      <c r="A74" s="698"/>
      <c r="B74" s="698"/>
      <c r="C74" s="688" t="s">
        <v>595</v>
      </c>
      <c r="D74" s="699" t="s">
        <v>121</v>
      </c>
      <c r="E74" s="700"/>
      <c r="F74" s="700"/>
      <c r="G74" s="691"/>
      <c r="H74" s="692">
        <f>SUM(H75:H76)</f>
        <v>2043.8600000000001</v>
      </c>
    </row>
    <row r="75" spans="1:8" x14ac:dyDescent="0.25">
      <c r="A75" s="672" t="s">
        <v>64</v>
      </c>
      <c r="B75" s="672">
        <v>141412</v>
      </c>
      <c r="C75" s="672" t="s">
        <v>596</v>
      </c>
      <c r="D75" s="706" t="s">
        <v>645</v>
      </c>
      <c r="E75" s="672" t="s">
        <v>52</v>
      </c>
      <c r="F75" s="693">
        <f>'MEMÓRIA DE CÁLCULO'!L249</f>
        <v>27.14</v>
      </c>
      <c r="G75" s="674">
        <v>32.43</v>
      </c>
      <c r="H75" s="674">
        <f>ROUND(G75*F75,2)</f>
        <v>880.15</v>
      </c>
    </row>
    <row r="76" spans="1:8" x14ac:dyDescent="0.25">
      <c r="A76" s="672" t="s">
        <v>64</v>
      </c>
      <c r="B76" s="672">
        <v>140903</v>
      </c>
      <c r="C76" s="672" t="s">
        <v>597</v>
      </c>
      <c r="D76" s="706" t="s">
        <v>122</v>
      </c>
      <c r="E76" s="672" t="s">
        <v>52</v>
      </c>
      <c r="F76" s="693">
        <f>'MEMÓRIA DE CÁLCULO'!L253</f>
        <v>25.78</v>
      </c>
      <c r="G76" s="674">
        <v>45.14</v>
      </c>
      <c r="H76" s="674">
        <f>ROUND(G76*F76,2)</f>
        <v>1163.71</v>
      </c>
    </row>
    <row r="77" spans="1:8" x14ac:dyDescent="0.25">
      <c r="A77" s="681"/>
      <c r="B77" s="681"/>
      <c r="C77" s="682" t="s">
        <v>286</v>
      </c>
      <c r="D77" s="683" t="s">
        <v>124</v>
      </c>
      <c r="E77" s="684"/>
      <c r="F77" s="684"/>
      <c r="G77" s="685"/>
      <c r="H77" s="686">
        <f>SUM(H78,H82)</f>
        <v>13868.41</v>
      </c>
    </row>
    <row r="78" spans="1:8" x14ac:dyDescent="0.25">
      <c r="A78" s="698"/>
      <c r="B78" s="698"/>
      <c r="C78" s="688" t="s">
        <v>287</v>
      </c>
      <c r="D78" s="699" t="s">
        <v>207</v>
      </c>
      <c r="E78" s="700"/>
      <c r="F78" s="700"/>
      <c r="G78" s="691"/>
      <c r="H78" s="692">
        <f>SUM(H79:H81)</f>
        <v>11304.83</v>
      </c>
    </row>
    <row r="79" spans="1:8" ht="45" x14ac:dyDescent="0.25">
      <c r="A79" s="675" t="s">
        <v>179</v>
      </c>
      <c r="B79" s="675"/>
      <c r="C79" s="672" t="s">
        <v>288</v>
      </c>
      <c r="D79" s="673" t="s">
        <v>227</v>
      </c>
      <c r="E79" s="672" t="s">
        <v>56</v>
      </c>
      <c r="F79" s="693">
        <f>'MEMÓRIA DE CÁLCULO'!L258</f>
        <v>20</v>
      </c>
      <c r="G79" s="674">
        <v>94.05</v>
      </c>
      <c r="H79" s="674">
        <f>ROUND(G79*F79,2)</f>
        <v>1881</v>
      </c>
    </row>
    <row r="80" spans="1:8" ht="45" x14ac:dyDescent="0.25">
      <c r="A80" s="675" t="s">
        <v>205</v>
      </c>
      <c r="B80" s="675"/>
      <c r="C80" s="672" t="s">
        <v>289</v>
      </c>
      <c r="D80" s="673" t="s">
        <v>372</v>
      </c>
      <c r="E80" s="672" t="s">
        <v>56</v>
      </c>
      <c r="F80" s="693">
        <f>'MEMÓRIA DE CÁLCULO'!L279</f>
        <v>16</v>
      </c>
      <c r="G80" s="674">
        <v>91.7</v>
      </c>
      <c r="H80" s="674">
        <f>ROUND(G80*F80,2)</f>
        <v>1467.2</v>
      </c>
    </row>
    <row r="81" spans="1:8" ht="30" x14ac:dyDescent="0.25">
      <c r="A81" s="672" t="s">
        <v>75</v>
      </c>
      <c r="B81" s="672">
        <v>93142</v>
      </c>
      <c r="C81" s="672" t="s">
        <v>290</v>
      </c>
      <c r="D81" s="717" t="s">
        <v>353</v>
      </c>
      <c r="E81" s="672" t="s">
        <v>56</v>
      </c>
      <c r="F81" s="718">
        <f>'MEMÓRIA DE CÁLCULO'!L296</f>
        <v>47</v>
      </c>
      <c r="G81" s="674">
        <v>169.29</v>
      </c>
      <c r="H81" s="674">
        <f t="shared" ref="H81" si="5">ROUND(G81*F81,2)</f>
        <v>7956.63</v>
      </c>
    </row>
    <row r="82" spans="1:8" x14ac:dyDescent="0.25">
      <c r="A82" s="698"/>
      <c r="B82" s="698"/>
      <c r="C82" s="688" t="s">
        <v>291</v>
      </c>
      <c r="D82" s="699" t="s">
        <v>216</v>
      </c>
      <c r="E82" s="700"/>
      <c r="F82" s="700"/>
      <c r="G82" s="691"/>
      <c r="H82" s="692">
        <f>SUM(H83:H86)</f>
        <v>2563.58</v>
      </c>
    </row>
    <row r="83" spans="1:8" x14ac:dyDescent="0.25">
      <c r="A83" s="672" t="s">
        <v>75</v>
      </c>
      <c r="B83" s="677">
        <v>98304</v>
      </c>
      <c r="C83" s="677" t="s">
        <v>292</v>
      </c>
      <c r="D83" s="696" t="s">
        <v>233</v>
      </c>
      <c r="E83" s="677" t="s">
        <v>56</v>
      </c>
      <c r="F83" s="679">
        <f>'MEMÓRIA DE CÁLCULO'!L315</f>
        <v>1</v>
      </c>
      <c r="G83" s="680">
        <v>1077.46</v>
      </c>
      <c r="H83" s="674">
        <f>ROUND(G83*F83,2)</f>
        <v>1077.46</v>
      </c>
    </row>
    <row r="84" spans="1:8" x14ac:dyDescent="0.25">
      <c r="A84" s="672" t="s">
        <v>75</v>
      </c>
      <c r="B84" s="677">
        <v>98294</v>
      </c>
      <c r="C84" s="677" t="s">
        <v>293</v>
      </c>
      <c r="D84" s="719" t="s">
        <v>217</v>
      </c>
      <c r="E84" s="677" t="s">
        <v>52</v>
      </c>
      <c r="F84" s="679">
        <f>'MEMÓRIA DE CÁLCULO'!L316</f>
        <v>68.64</v>
      </c>
      <c r="G84" s="680">
        <v>2.19</v>
      </c>
      <c r="H84" s="674">
        <f>ROUND(G84*F84,2)</f>
        <v>150.32</v>
      </c>
    </row>
    <row r="85" spans="1:8" x14ac:dyDescent="0.25">
      <c r="A85" s="672" t="s">
        <v>64</v>
      </c>
      <c r="B85" s="677">
        <v>150801</v>
      </c>
      <c r="C85" s="677" t="s">
        <v>609</v>
      </c>
      <c r="D85" s="720" t="s">
        <v>384</v>
      </c>
      <c r="E85" s="677" t="s">
        <v>52</v>
      </c>
      <c r="F85" s="679">
        <f>'MEMÓRIA DE CÁLCULO'!L317</f>
        <v>68.64</v>
      </c>
      <c r="G85" s="680">
        <v>13.44</v>
      </c>
      <c r="H85" s="674">
        <f>ROUND(G85*F85,2)</f>
        <v>922.52</v>
      </c>
    </row>
    <row r="86" spans="1:8" x14ac:dyDescent="0.25">
      <c r="A86" s="672" t="s">
        <v>64</v>
      </c>
      <c r="B86" s="677">
        <v>150623</v>
      </c>
      <c r="C86" s="677" t="s">
        <v>610</v>
      </c>
      <c r="D86" s="719" t="s">
        <v>373</v>
      </c>
      <c r="E86" s="677" t="s">
        <v>56</v>
      </c>
      <c r="F86" s="679">
        <f>'MEMÓRIA DE CÁLCULO'!L318</f>
        <v>56</v>
      </c>
      <c r="G86" s="680">
        <v>7.38</v>
      </c>
      <c r="H86" s="674">
        <f>ROUND(G86*F86,2)</f>
        <v>413.28</v>
      </c>
    </row>
    <row r="87" spans="1:8" x14ac:dyDescent="0.25">
      <c r="A87" s="681"/>
      <c r="B87" s="681"/>
      <c r="C87" s="682" t="s">
        <v>294</v>
      </c>
      <c r="D87" s="683" t="s">
        <v>125</v>
      </c>
      <c r="E87" s="684"/>
      <c r="F87" s="684"/>
      <c r="G87" s="685"/>
      <c r="H87" s="686">
        <f>SUM(H88,H97,H99)</f>
        <v>7521.34</v>
      </c>
    </row>
    <row r="88" spans="1:8" x14ac:dyDescent="0.25">
      <c r="A88" s="698"/>
      <c r="B88" s="698"/>
      <c r="C88" s="688" t="s">
        <v>295</v>
      </c>
      <c r="D88" s="699" t="s">
        <v>136</v>
      </c>
      <c r="E88" s="700"/>
      <c r="F88" s="700"/>
      <c r="G88" s="691"/>
      <c r="H88" s="692">
        <f>SUM(H89:H96)</f>
        <v>4541.68</v>
      </c>
    </row>
    <row r="89" spans="1:8" x14ac:dyDescent="0.25">
      <c r="A89" s="672" t="s">
        <v>75</v>
      </c>
      <c r="B89" s="672">
        <v>86901</v>
      </c>
      <c r="C89" s="672" t="s">
        <v>296</v>
      </c>
      <c r="D89" s="706" t="s">
        <v>126</v>
      </c>
      <c r="E89" s="672" t="s">
        <v>56</v>
      </c>
      <c r="F89" s="693">
        <f>'MEMÓRIA DE CÁLCULO'!L338</f>
        <v>7</v>
      </c>
      <c r="G89" s="674">
        <v>129.16</v>
      </c>
      <c r="H89" s="674">
        <f>ROUND(G89*F89,2)</f>
        <v>904.12</v>
      </c>
    </row>
    <row r="90" spans="1:8" ht="30" x14ac:dyDescent="0.25">
      <c r="A90" s="672" t="s">
        <v>75</v>
      </c>
      <c r="B90" s="672">
        <v>86935</v>
      </c>
      <c r="C90" s="672" t="s">
        <v>297</v>
      </c>
      <c r="D90" s="673" t="s">
        <v>133</v>
      </c>
      <c r="E90" s="672" t="s">
        <v>56</v>
      </c>
      <c r="F90" s="693">
        <f>'MEMÓRIA DE CÁLCULO'!L341</f>
        <v>2</v>
      </c>
      <c r="G90" s="674">
        <v>260.36</v>
      </c>
      <c r="H90" s="674">
        <f>ROUND(G90*F90,2)</f>
        <v>520.72</v>
      </c>
    </row>
    <row r="91" spans="1:8" ht="30" x14ac:dyDescent="0.25">
      <c r="A91" s="672" t="s">
        <v>75</v>
      </c>
      <c r="B91" s="672">
        <v>86888</v>
      </c>
      <c r="C91" s="672" t="s">
        <v>598</v>
      </c>
      <c r="D91" s="673" t="s">
        <v>161</v>
      </c>
      <c r="E91" s="672" t="s">
        <v>56</v>
      </c>
      <c r="F91" s="693">
        <f>'MEMÓRIA DE CÁLCULO'!L343</f>
        <v>6</v>
      </c>
      <c r="G91" s="674">
        <v>416.11</v>
      </c>
      <c r="H91" s="674">
        <f t="shared" ref="H91:H96" si="6">ROUND(G91*F91,2)</f>
        <v>2496.66</v>
      </c>
    </row>
    <row r="92" spans="1:8" x14ac:dyDescent="0.25">
      <c r="A92" s="675" t="s">
        <v>165</v>
      </c>
      <c r="B92" s="675"/>
      <c r="C92" s="672" t="s">
        <v>352</v>
      </c>
      <c r="D92" s="673" t="s">
        <v>187</v>
      </c>
      <c r="E92" s="672" t="s">
        <v>56</v>
      </c>
      <c r="F92" s="693">
        <f>'MEMÓRIA DE CÁLCULO'!L346</f>
        <v>2</v>
      </c>
      <c r="G92" s="674">
        <v>71.23</v>
      </c>
      <c r="H92" s="674">
        <f t="shared" si="6"/>
        <v>142.46</v>
      </c>
    </row>
    <row r="93" spans="1:8" x14ac:dyDescent="0.25">
      <c r="A93" s="672" t="s">
        <v>64</v>
      </c>
      <c r="B93" s="672">
        <v>170537</v>
      </c>
      <c r="C93" s="672" t="s">
        <v>611</v>
      </c>
      <c r="D93" s="706" t="s">
        <v>127</v>
      </c>
      <c r="E93" s="672" t="s">
        <v>56</v>
      </c>
      <c r="F93" s="693">
        <f>'MEMÓRIA DE CÁLCULO'!L348</f>
        <v>6</v>
      </c>
      <c r="G93" s="674">
        <v>36.57</v>
      </c>
      <c r="H93" s="674">
        <f t="shared" si="6"/>
        <v>219.42</v>
      </c>
    </row>
    <row r="94" spans="1:8" ht="30" x14ac:dyDescent="0.25">
      <c r="A94" s="672" t="s">
        <v>75</v>
      </c>
      <c r="B94" s="672">
        <v>95547</v>
      </c>
      <c r="C94" s="672" t="s">
        <v>612</v>
      </c>
      <c r="D94" s="673" t="s">
        <v>128</v>
      </c>
      <c r="E94" s="672" t="s">
        <v>56</v>
      </c>
      <c r="F94" s="693">
        <f>'MEMÓRIA DE CÁLCULO'!L351</f>
        <v>2</v>
      </c>
      <c r="G94" s="674">
        <v>57.65</v>
      </c>
      <c r="H94" s="674">
        <f t="shared" si="6"/>
        <v>115.3</v>
      </c>
    </row>
    <row r="95" spans="1:8" x14ac:dyDescent="0.25">
      <c r="A95" s="675" t="s">
        <v>130</v>
      </c>
      <c r="B95" s="675"/>
      <c r="C95" s="672" t="s">
        <v>613</v>
      </c>
      <c r="D95" s="706" t="s">
        <v>129</v>
      </c>
      <c r="E95" s="672" t="s">
        <v>56</v>
      </c>
      <c r="F95" s="693">
        <f>'MEMÓRIA DE CÁLCULO'!L354</f>
        <v>2</v>
      </c>
      <c r="G95" s="674">
        <v>54.86</v>
      </c>
      <c r="H95" s="674">
        <f t="shared" si="6"/>
        <v>109.72</v>
      </c>
    </row>
    <row r="96" spans="1:8" x14ac:dyDescent="0.25">
      <c r="A96" s="672" t="s">
        <v>64</v>
      </c>
      <c r="B96" s="672">
        <v>142117</v>
      </c>
      <c r="C96" s="672" t="s">
        <v>614</v>
      </c>
      <c r="D96" s="706" t="s">
        <v>429</v>
      </c>
      <c r="E96" s="672" t="s">
        <v>56</v>
      </c>
      <c r="F96" s="693">
        <f>'MEMÓRIA DE CÁLCULO'!L357</f>
        <v>2</v>
      </c>
      <c r="G96" s="674">
        <v>16.64</v>
      </c>
      <c r="H96" s="674">
        <f t="shared" si="6"/>
        <v>33.28</v>
      </c>
    </row>
    <row r="97" spans="1:8" x14ac:dyDescent="0.25">
      <c r="A97" s="698"/>
      <c r="B97" s="698"/>
      <c r="C97" s="688" t="s">
        <v>298</v>
      </c>
      <c r="D97" s="699" t="s">
        <v>131</v>
      </c>
      <c r="E97" s="700"/>
      <c r="F97" s="700"/>
      <c r="G97" s="691"/>
      <c r="H97" s="692">
        <f>SUM(H98)</f>
        <v>2394.0500000000002</v>
      </c>
    </row>
    <row r="98" spans="1:8" x14ac:dyDescent="0.25">
      <c r="A98" s="672" t="s">
        <v>64</v>
      </c>
      <c r="B98" s="672">
        <v>170220</v>
      </c>
      <c r="C98" s="672" t="s">
        <v>599</v>
      </c>
      <c r="D98" s="706" t="s">
        <v>132</v>
      </c>
      <c r="E98" s="672" t="s">
        <v>11</v>
      </c>
      <c r="F98" s="693">
        <f>'MEMÓRIA DE CÁLCULO'!L361</f>
        <v>6.83</v>
      </c>
      <c r="G98" s="674">
        <v>350.52</v>
      </c>
      <c r="H98" s="674">
        <f>ROUND(G98*F98,2)</f>
        <v>2394.0500000000002</v>
      </c>
    </row>
    <row r="99" spans="1:8" x14ac:dyDescent="0.25">
      <c r="A99" s="698"/>
      <c r="B99" s="698"/>
      <c r="C99" s="688" t="s">
        <v>615</v>
      </c>
      <c r="D99" s="699" t="s">
        <v>135</v>
      </c>
      <c r="E99" s="700"/>
      <c r="F99" s="700"/>
      <c r="G99" s="691"/>
      <c r="H99" s="692">
        <f>SUM(H100:H101)</f>
        <v>585.61</v>
      </c>
    </row>
    <row r="100" spans="1:8" ht="30" x14ac:dyDescent="0.25">
      <c r="A100" s="672" t="s">
        <v>75</v>
      </c>
      <c r="B100" s="672">
        <v>86906</v>
      </c>
      <c r="C100" s="672" t="s">
        <v>616</v>
      </c>
      <c r="D100" s="673" t="s">
        <v>162</v>
      </c>
      <c r="E100" s="672" t="s">
        <v>56</v>
      </c>
      <c r="F100" s="693">
        <f>'MEMÓRIA DE CÁLCULO'!L367</f>
        <v>7</v>
      </c>
      <c r="G100" s="674">
        <v>56.49</v>
      </c>
      <c r="H100" s="674">
        <f>ROUND(G100*F100,2)</f>
        <v>395.43</v>
      </c>
    </row>
    <row r="101" spans="1:8" x14ac:dyDescent="0.25">
      <c r="A101" s="672" t="s">
        <v>75</v>
      </c>
      <c r="B101" s="672">
        <v>86915</v>
      </c>
      <c r="C101" s="672" t="s">
        <v>617</v>
      </c>
      <c r="D101" s="673" t="s">
        <v>134</v>
      </c>
      <c r="E101" s="672" t="s">
        <v>56</v>
      </c>
      <c r="F101" s="693">
        <f>'MEMÓRIA DE CÁLCULO'!L370</f>
        <v>2</v>
      </c>
      <c r="G101" s="674">
        <v>95.09</v>
      </c>
      <c r="H101" s="674">
        <f>ROUND(G101*F101,2)</f>
        <v>190.18</v>
      </c>
    </row>
    <row r="102" spans="1:8" x14ac:dyDescent="0.25">
      <c r="A102" s="681"/>
      <c r="B102" s="681"/>
      <c r="C102" s="682" t="s">
        <v>299</v>
      </c>
      <c r="D102" s="683" t="s">
        <v>137</v>
      </c>
      <c r="E102" s="721"/>
      <c r="F102" s="721"/>
      <c r="G102" s="685"/>
      <c r="H102" s="686">
        <f>SUM(H103,H107)</f>
        <v>7956.15</v>
      </c>
    </row>
    <row r="103" spans="1:8" x14ac:dyDescent="0.25">
      <c r="A103" s="698"/>
      <c r="B103" s="698"/>
      <c r="C103" s="688" t="s">
        <v>300</v>
      </c>
      <c r="D103" s="699" t="s">
        <v>142</v>
      </c>
      <c r="E103" s="722"/>
      <c r="F103" s="722"/>
      <c r="G103" s="691"/>
      <c r="H103" s="692">
        <f>SUM(H104:H106)</f>
        <v>4864.95</v>
      </c>
    </row>
    <row r="104" spans="1:8" ht="30" x14ac:dyDescent="0.25">
      <c r="A104" s="675" t="s">
        <v>213</v>
      </c>
      <c r="B104" s="675"/>
      <c r="C104" s="672" t="s">
        <v>301</v>
      </c>
      <c r="D104" s="673" t="s">
        <v>345</v>
      </c>
      <c r="E104" s="672" t="s">
        <v>56</v>
      </c>
      <c r="F104" s="693">
        <f>'MEMÓRIA DE CÁLCULO'!L374</f>
        <v>43</v>
      </c>
      <c r="G104" s="674">
        <v>21.33</v>
      </c>
      <c r="H104" s="674">
        <f>ROUND(G104*F104,2)</f>
        <v>917.19</v>
      </c>
    </row>
    <row r="105" spans="1:8" x14ac:dyDescent="0.25">
      <c r="A105" s="677" t="s">
        <v>75</v>
      </c>
      <c r="B105" s="677">
        <v>97610</v>
      </c>
      <c r="C105" s="672" t="s">
        <v>302</v>
      </c>
      <c r="D105" s="696" t="s">
        <v>432</v>
      </c>
      <c r="E105" s="677" t="s">
        <v>56</v>
      </c>
      <c r="F105" s="697">
        <f>'MEMÓRIA DE CÁLCULO'!L398</f>
        <v>51</v>
      </c>
      <c r="G105" s="680">
        <v>43.92</v>
      </c>
      <c r="H105" s="680">
        <f>ROUND(G105*F105,2)</f>
        <v>2239.92</v>
      </c>
    </row>
    <row r="106" spans="1:8" x14ac:dyDescent="0.25">
      <c r="A106" s="675" t="s">
        <v>402</v>
      </c>
      <c r="B106" s="675"/>
      <c r="C106" s="672" t="s">
        <v>303</v>
      </c>
      <c r="D106" s="673" t="s">
        <v>351</v>
      </c>
      <c r="E106" s="672" t="s">
        <v>56</v>
      </c>
      <c r="F106" s="693">
        <f>'MEMÓRIA DE CÁLCULO'!L424</f>
        <v>24</v>
      </c>
      <c r="G106" s="674">
        <v>71.16</v>
      </c>
      <c r="H106" s="674">
        <f>ROUND(G106*F106,2)</f>
        <v>1707.84</v>
      </c>
    </row>
    <row r="107" spans="1:8" x14ac:dyDescent="0.25">
      <c r="A107" s="698"/>
      <c r="B107" s="698"/>
      <c r="C107" s="688" t="s">
        <v>304</v>
      </c>
      <c r="D107" s="699" t="s">
        <v>138</v>
      </c>
      <c r="E107" s="723"/>
      <c r="F107" s="723"/>
      <c r="G107" s="724"/>
      <c r="H107" s="692">
        <f>SUM(H108:H110)</f>
        <v>3091.2</v>
      </c>
    </row>
    <row r="108" spans="1:8" x14ac:dyDescent="0.25">
      <c r="A108" s="672" t="s">
        <v>64</v>
      </c>
      <c r="B108" s="672">
        <v>180204</v>
      </c>
      <c r="C108" s="672" t="s">
        <v>305</v>
      </c>
      <c r="D108" s="706" t="s">
        <v>139</v>
      </c>
      <c r="E108" s="672" t="s">
        <v>56</v>
      </c>
      <c r="F108" s="693">
        <f>'MEMÓRIA DE CÁLCULO'!L433</f>
        <v>24</v>
      </c>
      <c r="G108" s="674">
        <v>23.54</v>
      </c>
      <c r="H108" s="674">
        <f>ROUND(G108*F108,2)</f>
        <v>564.96</v>
      </c>
    </row>
    <row r="109" spans="1:8" x14ac:dyDescent="0.25">
      <c r="A109" s="672" t="s">
        <v>75</v>
      </c>
      <c r="B109" s="672">
        <v>98308</v>
      </c>
      <c r="C109" s="672" t="s">
        <v>618</v>
      </c>
      <c r="D109" s="706" t="s">
        <v>140</v>
      </c>
      <c r="E109" s="672" t="s">
        <v>56</v>
      </c>
      <c r="F109" s="693">
        <f>'MEMÓRIA DE CÁLCULO'!L458</f>
        <v>18</v>
      </c>
      <c r="G109" s="674">
        <v>30.61</v>
      </c>
      <c r="H109" s="674">
        <f t="shared" ref="H109:H110" si="7">ROUND(G109*F109,2)</f>
        <v>550.98</v>
      </c>
    </row>
    <row r="110" spans="1:8" x14ac:dyDescent="0.25">
      <c r="A110" s="672" t="s">
        <v>75</v>
      </c>
      <c r="B110" s="672">
        <v>98307</v>
      </c>
      <c r="C110" s="672" t="s">
        <v>619</v>
      </c>
      <c r="D110" s="706" t="s">
        <v>141</v>
      </c>
      <c r="E110" s="672" t="s">
        <v>56</v>
      </c>
      <c r="F110" s="693">
        <f>'MEMÓRIA DE CÁLCULO'!L477</f>
        <v>42</v>
      </c>
      <c r="G110" s="674">
        <v>47.03</v>
      </c>
      <c r="H110" s="674">
        <f t="shared" si="7"/>
        <v>1975.26</v>
      </c>
    </row>
    <row r="111" spans="1:8" x14ac:dyDescent="0.25">
      <c r="A111" s="681"/>
      <c r="B111" s="681"/>
      <c r="C111" s="682" t="s">
        <v>306</v>
      </c>
      <c r="D111" s="683" t="s">
        <v>631</v>
      </c>
      <c r="E111" s="684"/>
      <c r="F111" s="684"/>
      <c r="G111" s="685"/>
      <c r="H111" s="686">
        <f>SUM(H112:H114)</f>
        <v>1318.24</v>
      </c>
    </row>
    <row r="112" spans="1:8" x14ac:dyDescent="0.25">
      <c r="A112" s="672" t="s">
        <v>75</v>
      </c>
      <c r="B112" s="672">
        <v>98504</v>
      </c>
      <c r="C112" s="672" t="s">
        <v>307</v>
      </c>
      <c r="D112" s="706" t="s">
        <v>153</v>
      </c>
      <c r="E112" s="672" t="s">
        <v>11</v>
      </c>
      <c r="F112" s="693">
        <f>'MEMÓRIA DE CÁLCULO'!L496</f>
        <v>55.46</v>
      </c>
      <c r="G112" s="674">
        <v>9.82</v>
      </c>
      <c r="H112" s="674">
        <f>ROUND(G112*F112,2)</f>
        <v>544.62</v>
      </c>
    </row>
    <row r="113" spans="1:8" x14ac:dyDescent="0.25">
      <c r="A113" s="672" t="s">
        <v>75</v>
      </c>
      <c r="B113" s="672">
        <v>98509</v>
      </c>
      <c r="C113" s="672" t="s">
        <v>308</v>
      </c>
      <c r="D113" s="706" t="s">
        <v>154</v>
      </c>
      <c r="E113" s="672" t="s">
        <v>56</v>
      </c>
      <c r="F113" s="693">
        <f>'MEMÓRIA DE CÁLCULO'!L498</f>
        <v>10</v>
      </c>
      <c r="G113" s="674">
        <v>41.78</v>
      </c>
      <c r="H113" s="674">
        <f t="shared" ref="H113:H114" si="8">ROUND(G113*F113,2)</f>
        <v>417.8</v>
      </c>
    </row>
    <row r="114" spans="1:8" x14ac:dyDescent="0.25">
      <c r="A114" s="675" t="s">
        <v>144</v>
      </c>
      <c r="B114" s="675"/>
      <c r="C114" s="672" t="s">
        <v>600</v>
      </c>
      <c r="D114" s="706" t="s">
        <v>156</v>
      </c>
      <c r="E114" s="672" t="s">
        <v>52</v>
      </c>
      <c r="F114" s="693">
        <f>'MEMÓRIA DE CÁLCULO'!L500</f>
        <v>39.979999999999997</v>
      </c>
      <c r="G114" s="674">
        <v>8.9</v>
      </c>
      <c r="H114" s="674">
        <f t="shared" si="8"/>
        <v>355.82</v>
      </c>
    </row>
    <row r="115" spans="1:8" x14ac:dyDescent="0.25">
      <c r="A115" s="681"/>
      <c r="B115" s="681"/>
      <c r="C115" s="682" t="s">
        <v>309</v>
      </c>
      <c r="D115" s="683" t="s">
        <v>145</v>
      </c>
      <c r="E115" s="684"/>
      <c r="F115" s="684"/>
      <c r="G115" s="685"/>
      <c r="H115" s="686">
        <f>SUM(H116,H119,H123)</f>
        <v>45596.08</v>
      </c>
    </row>
    <row r="116" spans="1:8" x14ac:dyDescent="0.25">
      <c r="A116" s="698"/>
      <c r="B116" s="698"/>
      <c r="C116" s="688" t="s">
        <v>310</v>
      </c>
      <c r="D116" s="699" t="s">
        <v>164</v>
      </c>
      <c r="E116" s="700"/>
      <c r="F116" s="700"/>
      <c r="G116" s="691"/>
      <c r="H116" s="692">
        <f>SUM(H117:H118)</f>
        <v>3314.58</v>
      </c>
    </row>
    <row r="117" spans="1:8" ht="30" x14ac:dyDescent="0.25">
      <c r="A117" s="701" t="s">
        <v>64</v>
      </c>
      <c r="B117" s="677">
        <v>190302</v>
      </c>
      <c r="C117" s="677" t="s">
        <v>620</v>
      </c>
      <c r="D117" s="696" t="s">
        <v>642</v>
      </c>
      <c r="E117" s="677" t="s">
        <v>11</v>
      </c>
      <c r="F117" s="679">
        <f>'MEMÓRIA DE CÁLCULO'!L504</f>
        <v>42.56</v>
      </c>
      <c r="G117" s="680">
        <v>21.26</v>
      </c>
      <c r="H117" s="704">
        <f>ROUND(G117*F117,2)</f>
        <v>904.83</v>
      </c>
    </row>
    <row r="118" spans="1:8" ht="30" x14ac:dyDescent="0.25">
      <c r="A118" s="701" t="s">
        <v>64</v>
      </c>
      <c r="B118" s="701">
        <v>190306</v>
      </c>
      <c r="C118" s="677" t="s">
        <v>641</v>
      </c>
      <c r="D118" s="702" t="s">
        <v>163</v>
      </c>
      <c r="E118" s="725" t="s">
        <v>11</v>
      </c>
      <c r="F118" s="725">
        <f>'MEMÓRIA DE CÁLCULO'!L506</f>
        <v>113.3468</v>
      </c>
      <c r="G118" s="704">
        <v>21.26</v>
      </c>
      <c r="H118" s="704">
        <f>ROUND(G118*F118,2)</f>
        <v>2409.75</v>
      </c>
    </row>
    <row r="119" spans="1:8" x14ac:dyDescent="0.25">
      <c r="A119" s="698"/>
      <c r="B119" s="698"/>
      <c r="C119" s="688" t="s">
        <v>311</v>
      </c>
      <c r="D119" s="699" t="s">
        <v>149</v>
      </c>
      <c r="E119" s="700"/>
      <c r="F119" s="700"/>
      <c r="G119" s="691"/>
      <c r="H119" s="692">
        <f>SUM(H120:H122)</f>
        <v>39788.94</v>
      </c>
    </row>
    <row r="120" spans="1:8" x14ac:dyDescent="0.25">
      <c r="A120" s="672" t="s">
        <v>75</v>
      </c>
      <c r="B120" s="672">
        <v>88486</v>
      </c>
      <c r="C120" s="672" t="s">
        <v>621</v>
      </c>
      <c r="D120" s="706" t="s">
        <v>150</v>
      </c>
      <c r="E120" s="672" t="s">
        <v>11</v>
      </c>
      <c r="F120" s="693">
        <f>'MEMÓRIA DE CÁLCULO'!L516</f>
        <v>432.54140000000001</v>
      </c>
      <c r="G120" s="674">
        <v>11.48</v>
      </c>
      <c r="H120" s="674">
        <f>ROUND(G120*F120,2)</f>
        <v>4965.58</v>
      </c>
    </row>
    <row r="121" spans="1:8" x14ac:dyDescent="0.25">
      <c r="A121" s="672" t="s">
        <v>75</v>
      </c>
      <c r="B121" s="672">
        <v>88489</v>
      </c>
      <c r="C121" s="672" t="s">
        <v>622</v>
      </c>
      <c r="D121" s="706" t="s">
        <v>238</v>
      </c>
      <c r="E121" s="672" t="s">
        <v>11</v>
      </c>
      <c r="F121" s="693">
        <f>'MEMÓRIA DE CÁLCULO'!L532</f>
        <v>1544.1947</v>
      </c>
      <c r="G121" s="674">
        <v>13</v>
      </c>
      <c r="H121" s="674">
        <f>ROUND(G121*F121,2)</f>
        <v>20074.53</v>
      </c>
    </row>
    <row r="122" spans="1:8" x14ac:dyDescent="0.25">
      <c r="A122" s="677" t="s">
        <v>75</v>
      </c>
      <c r="B122" s="677">
        <v>95626</v>
      </c>
      <c r="C122" s="672" t="s">
        <v>623</v>
      </c>
      <c r="D122" s="726" t="s">
        <v>151</v>
      </c>
      <c r="E122" s="677" t="s">
        <v>11</v>
      </c>
      <c r="F122" s="697">
        <f>'MEMÓRIA DE CÁLCULO'!L571</f>
        <v>1038.6500999999998</v>
      </c>
      <c r="G122" s="680">
        <v>14.2</v>
      </c>
      <c r="H122" s="680">
        <f>ROUND(G122*F122,2)</f>
        <v>14748.83</v>
      </c>
    </row>
    <row r="123" spans="1:8" x14ac:dyDescent="0.25">
      <c r="A123" s="698"/>
      <c r="B123" s="698"/>
      <c r="C123" s="688" t="s">
        <v>312</v>
      </c>
      <c r="D123" s="699" t="s">
        <v>371</v>
      </c>
      <c r="E123" s="700"/>
      <c r="F123" s="700"/>
      <c r="G123" s="691"/>
      <c r="H123" s="692">
        <f>SUM(H124)</f>
        <v>2492.56</v>
      </c>
    </row>
    <row r="124" spans="1:8" ht="30" x14ac:dyDescent="0.25">
      <c r="A124" s="672" t="s">
        <v>64</v>
      </c>
      <c r="B124" s="672">
        <v>190417</v>
      </c>
      <c r="C124" s="672" t="s">
        <v>624</v>
      </c>
      <c r="D124" s="673" t="s">
        <v>166</v>
      </c>
      <c r="E124" s="672" t="s">
        <v>11</v>
      </c>
      <c r="F124" s="693">
        <f>'MEMÓRIA DE CÁLCULO'!L585</f>
        <v>140.11000000000001</v>
      </c>
      <c r="G124" s="674">
        <v>17.79</v>
      </c>
      <c r="H124" s="674">
        <f>ROUND(G124*F124,2)</f>
        <v>2492.56</v>
      </c>
    </row>
    <row r="125" spans="1:8" x14ac:dyDescent="0.25">
      <c r="A125" s="681"/>
      <c r="B125" s="681"/>
      <c r="C125" s="682" t="s">
        <v>313</v>
      </c>
      <c r="D125" s="683" t="s">
        <v>152</v>
      </c>
      <c r="E125" s="684"/>
      <c r="F125" s="684"/>
      <c r="G125" s="685"/>
      <c r="H125" s="686">
        <f>SUM(H126:H126)</f>
        <v>678.48</v>
      </c>
    </row>
    <row r="126" spans="1:8" x14ac:dyDescent="0.25">
      <c r="A126" s="705" t="s">
        <v>209</v>
      </c>
      <c r="B126" s="705"/>
      <c r="C126" s="677" t="s">
        <v>314</v>
      </c>
      <c r="D126" s="726" t="s">
        <v>228</v>
      </c>
      <c r="E126" s="679" t="s">
        <v>11</v>
      </c>
      <c r="F126" s="679">
        <f>'MEMÓRIA DE CÁLCULO'!L593</f>
        <v>18.04</v>
      </c>
      <c r="G126" s="680">
        <v>37.61</v>
      </c>
      <c r="H126" s="674">
        <f>ROUND(G126*F126,2)</f>
        <v>678.48</v>
      </c>
    </row>
    <row r="127" spans="1:8" x14ac:dyDescent="0.25">
      <c r="A127" s="675"/>
      <c r="B127" s="675"/>
      <c r="C127" s="675"/>
      <c r="D127" s="675"/>
      <c r="E127" s="675"/>
      <c r="F127" s="675"/>
      <c r="G127" s="675"/>
      <c r="H127" s="675"/>
    </row>
    <row r="128" spans="1:8" x14ac:dyDescent="0.25">
      <c r="A128" s="727" t="s">
        <v>240</v>
      </c>
      <c r="B128" s="727"/>
      <c r="C128" s="727"/>
      <c r="D128" s="727"/>
      <c r="E128" s="727"/>
      <c r="F128" s="727"/>
      <c r="G128" s="727"/>
      <c r="H128" s="713">
        <f>SUM(H8,H25,H37,H41,H45,H51,H54,H56,H62,H66,H77,H87,H102,H111,H115,H125)</f>
        <v>216485.43999999997</v>
      </c>
    </row>
    <row r="129" spans="1:8" x14ac:dyDescent="0.25">
      <c r="A129" s="71"/>
      <c r="B129" s="71"/>
      <c r="C129" s="71"/>
      <c r="D129" s="72"/>
      <c r="E129" s="71"/>
      <c r="F129" s="73"/>
      <c r="G129" s="73"/>
      <c r="H129" s="70"/>
    </row>
    <row r="130" spans="1:8" x14ac:dyDescent="0.25">
      <c r="A130" s="71"/>
      <c r="B130" s="71"/>
      <c r="C130" s="71"/>
      <c r="D130" s="72"/>
      <c r="E130" s="71"/>
      <c r="F130" s="73"/>
      <c r="G130" s="73"/>
      <c r="H130" s="70"/>
    </row>
    <row r="131" spans="1:8" x14ac:dyDescent="0.25">
      <c r="A131" s="71"/>
      <c r="B131" s="71"/>
      <c r="C131" s="71"/>
      <c r="D131" s="72"/>
      <c r="E131" s="71"/>
      <c r="F131" s="73"/>
      <c r="G131" s="73"/>
      <c r="H131" s="70"/>
    </row>
    <row r="132" spans="1:8" x14ac:dyDescent="0.25">
      <c r="A132" s="71"/>
      <c r="B132" s="71"/>
      <c r="C132" s="71"/>
      <c r="D132" s="72"/>
      <c r="E132" s="71"/>
      <c r="F132" s="73"/>
      <c r="G132" s="73"/>
      <c r="H132" s="70"/>
    </row>
    <row r="133" spans="1:8" x14ac:dyDescent="0.25">
      <c r="A133" s="71"/>
      <c r="B133" s="71"/>
      <c r="C133" s="71"/>
      <c r="D133" s="72"/>
      <c r="E133" s="71"/>
      <c r="F133" s="73"/>
      <c r="G133" s="73"/>
      <c r="H133" s="70"/>
    </row>
  </sheetData>
  <mergeCells count="66">
    <mergeCell ref="E4:F4"/>
    <mergeCell ref="A119:B119"/>
    <mergeCell ref="A123:B123"/>
    <mergeCell ref="A63:B63"/>
    <mergeCell ref="A67:B67"/>
    <mergeCell ref="A74:B74"/>
    <mergeCell ref="A78:B78"/>
    <mergeCell ref="A77:B77"/>
    <mergeCell ref="A87:B87"/>
    <mergeCell ref="A95:B95"/>
    <mergeCell ref="A102:B102"/>
    <mergeCell ref="A79:B79"/>
    <mergeCell ref="A104:B104"/>
    <mergeCell ref="A106:B106"/>
    <mergeCell ref="A128:G128"/>
    <mergeCell ref="A127:H127"/>
    <mergeCell ref="A126:B126"/>
    <mergeCell ref="A80:B80"/>
    <mergeCell ref="A92:B92"/>
    <mergeCell ref="A125:B125"/>
    <mergeCell ref="A111:B111"/>
    <mergeCell ref="A114:B114"/>
    <mergeCell ref="A115:B115"/>
    <mergeCell ref="A82:B82"/>
    <mergeCell ref="A88:B88"/>
    <mergeCell ref="A97:B97"/>
    <mergeCell ref="A99:B99"/>
    <mergeCell ref="A103:B103"/>
    <mergeCell ref="A107:B107"/>
    <mergeCell ref="A116:B116"/>
    <mergeCell ref="A8:B8"/>
    <mergeCell ref="A26:B26"/>
    <mergeCell ref="A28:B28"/>
    <mergeCell ref="A32:B32"/>
    <mergeCell ref="A35:B35"/>
    <mergeCell ref="A9:B9"/>
    <mergeCell ref="A15:B15"/>
    <mergeCell ref="A13:B13"/>
    <mergeCell ref="A25:B25"/>
    <mergeCell ref="A37:B37"/>
    <mergeCell ref="A62:B62"/>
    <mergeCell ref="A66:B66"/>
    <mergeCell ref="A69:B69"/>
    <mergeCell ref="A56:B56"/>
    <mergeCell ref="A51:B51"/>
    <mergeCell ref="A41:B41"/>
    <mergeCell ref="A45:B45"/>
    <mergeCell ref="A46:B46"/>
    <mergeCell ref="A39:B39"/>
    <mergeCell ref="A40:B40"/>
    <mergeCell ref="A54:B54"/>
    <mergeCell ref="E1:H1"/>
    <mergeCell ref="G6:G7"/>
    <mergeCell ref="A5:H5"/>
    <mergeCell ref="H6:H7"/>
    <mergeCell ref="A6:B6"/>
    <mergeCell ref="C6:C7"/>
    <mergeCell ref="D6:D7"/>
    <mergeCell ref="E6:E7"/>
    <mergeCell ref="F6:F7"/>
    <mergeCell ref="E2:H2"/>
    <mergeCell ref="E3:H3"/>
    <mergeCell ref="A1:D2"/>
    <mergeCell ref="A3:D3"/>
    <mergeCell ref="A4:D4"/>
    <mergeCell ref="G4:H4"/>
  </mergeCells>
  <pageMargins left="0.511811024" right="0.511811024" top="1.2749999999999999" bottom="0.78740157499999996" header="0.31496062000000002" footer="0.31496062000000002"/>
  <pageSetup paperSize="9" scale="86" fitToHeight="0" orientation="landscape" verticalDpi="4294967293" r:id="rId1"/>
  <headerFooter>
    <oddHeader>&amp;C&amp;G</oddHeader>
    <oddFooter>&amp;C&amp;"-,Itálico"Logradouro: Rua Elias Estevão Colnago, nº 65 – Centro - Itarana/ES. CEP 29620-000 
Tel.: (27) 3720-4900 – Site: www.itarana.es.gov.br – CNPJ: 27.104.363/0001-23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0"/>
  <sheetViews>
    <sheetView showGridLines="0" view="pageBreakPreview" zoomScaleNormal="100" zoomScaleSheetLayoutView="100" zoomScalePageLayoutView="60" workbookViewId="0">
      <selection activeCell="A4" sqref="A4:L4"/>
    </sheetView>
  </sheetViews>
  <sheetFormatPr defaultRowHeight="15.75" x14ac:dyDescent="0.25"/>
  <cols>
    <col min="1" max="1" width="7.85546875" style="32" customWidth="1"/>
    <col min="2" max="2" width="68.140625" style="30" customWidth="1"/>
    <col min="3" max="3" width="7.7109375" style="32" customWidth="1"/>
    <col min="4" max="4" width="9.140625" style="33" customWidth="1"/>
    <col min="5" max="5" width="11.85546875" style="33" customWidth="1"/>
    <col min="6" max="7" width="9.140625" style="33"/>
    <col min="8" max="8" width="10.7109375" style="33" customWidth="1"/>
    <col min="9" max="9" width="11" style="33" customWidth="1"/>
    <col min="10" max="10" width="9.140625" style="33"/>
    <col min="11" max="11" width="12.7109375" style="33" customWidth="1"/>
    <col min="12" max="12" width="11.7109375" style="33" customWidth="1"/>
    <col min="13" max="16384" width="9.140625" style="30"/>
  </cols>
  <sheetData>
    <row r="1" spans="1:13" ht="39.75" customHeight="1" x14ac:dyDescent="0.25">
      <c r="A1" s="416" t="str">
        <f>'PLANILHA ORÇAMENTÁRIA'!A1:D2</f>
        <v>EXECUÇÃO DA OBRA DE REFORMA DO ANTIGO PRÉDIO DA "E.M.E.F. LUÍZA GRIMALDI"</v>
      </c>
      <c r="B1" s="416"/>
      <c r="C1" s="416"/>
      <c r="D1" s="416"/>
      <c r="E1" s="416"/>
      <c r="F1" s="417" t="s">
        <v>14</v>
      </c>
      <c r="G1" s="417"/>
      <c r="H1" s="417"/>
      <c r="I1" s="417"/>
      <c r="J1" s="417"/>
      <c r="K1" s="417"/>
      <c r="L1" s="417"/>
    </row>
    <row r="2" spans="1:13" x14ac:dyDescent="0.25">
      <c r="A2" s="418" t="s">
        <v>57</v>
      </c>
      <c r="B2" s="418"/>
      <c r="C2" s="418"/>
      <c r="D2" s="418"/>
      <c r="E2" s="418"/>
      <c r="F2" s="417"/>
      <c r="G2" s="417"/>
      <c r="H2" s="417"/>
      <c r="I2" s="417"/>
      <c r="J2" s="417"/>
      <c r="K2" s="417"/>
      <c r="L2" s="417"/>
    </row>
    <row r="3" spans="1:13" x14ac:dyDescent="0.25">
      <c r="A3" s="418" t="s">
        <v>58</v>
      </c>
      <c r="B3" s="418"/>
      <c r="C3" s="418"/>
      <c r="D3" s="418"/>
      <c r="E3" s="418"/>
      <c r="F3" s="417"/>
      <c r="G3" s="417"/>
      <c r="H3" s="417"/>
      <c r="I3" s="417"/>
      <c r="J3" s="417"/>
      <c r="K3" s="417"/>
      <c r="L3" s="417"/>
    </row>
    <row r="4" spans="1:13" x14ac:dyDescent="0.2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3" x14ac:dyDescent="0.25">
      <c r="A5" s="313" t="s">
        <v>3</v>
      </c>
      <c r="B5" s="314" t="s">
        <v>15</v>
      </c>
      <c r="C5" s="314" t="s">
        <v>74</v>
      </c>
      <c r="D5" s="315" t="s">
        <v>5</v>
      </c>
      <c r="E5" s="315" t="s">
        <v>16</v>
      </c>
      <c r="F5" s="315" t="s">
        <v>17</v>
      </c>
      <c r="G5" s="315" t="s">
        <v>18</v>
      </c>
      <c r="H5" s="315" t="s">
        <v>19</v>
      </c>
      <c r="I5" s="315" t="s">
        <v>20</v>
      </c>
      <c r="J5" s="315" t="s">
        <v>22</v>
      </c>
      <c r="K5" s="315" t="s">
        <v>21</v>
      </c>
      <c r="L5" s="315" t="s">
        <v>7</v>
      </c>
    </row>
    <row r="6" spans="1:13" s="31" customFormat="1" x14ac:dyDescent="0.25">
      <c r="A6" s="338" t="s">
        <v>9</v>
      </c>
      <c r="B6" s="164" t="str">
        <f>'PLANILHA ORÇAMENTÁRIA'!D8</f>
        <v>SERVIÇOS PRELIMINARES</v>
      </c>
      <c r="C6" s="412"/>
      <c r="D6" s="412"/>
      <c r="E6" s="412"/>
      <c r="F6" s="412"/>
      <c r="G6" s="412"/>
      <c r="H6" s="412"/>
      <c r="I6" s="412"/>
      <c r="J6" s="412"/>
      <c r="K6" s="412"/>
      <c r="L6" s="386"/>
    </row>
    <row r="7" spans="1:13" s="44" customFormat="1" x14ac:dyDescent="0.25">
      <c r="A7" s="337" t="s">
        <v>252</v>
      </c>
      <c r="B7" s="165" t="s">
        <v>69</v>
      </c>
      <c r="C7" s="413"/>
      <c r="D7" s="413"/>
      <c r="E7" s="413"/>
      <c r="F7" s="413"/>
      <c r="G7" s="413"/>
      <c r="H7" s="413"/>
      <c r="I7" s="413"/>
      <c r="J7" s="413"/>
      <c r="K7" s="413"/>
      <c r="L7" s="387"/>
    </row>
    <row r="8" spans="1:13" s="31" customFormat="1" x14ac:dyDescent="0.25">
      <c r="A8" s="34" t="s">
        <v>253</v>
      </c>
      <c r="B8" s="35" t="str">
        <f>'PLANILHA ORÇAMENTÁRIA'!D10</f>
        <v>Remoção de metais sanitários, sem reaproveitamento</v>
      </c>
      <c r="C8" s="36" t="s">
        <v>56</v>
      </c>
      <c r="D8" s="37">
        <f>SUM(D9:D11)</f>
        <v>10</v>
      </c>
      <c r="E8" s="38"/>
      <c r="F8" s="38"/>
      <c r="G8" s="38"/>
      <c r="H8" s="39"/>
      <c r="I8" s="38"/>
      <c r="J8" s="38"/>
      <c r="K8" s="38"/>
      <c r="L8" s="333">
        <f>D8</f>
        <v>10</v>
      </c>
    </row>
    <row r="9" spans="1:13" s="31" customFormat="1" x14ac:dyDescent="0.25">
      <c r="A9" s="40"/>
      <c r="B9" s="212" t="s">
        <v>425</v>
      </c>
      <c r="C9" s="213"/>
      <c r="D9" s="250">
        <v>4</v>
      </c>
      <c r="E9" s="213"/>
      <c r="F9" s="213"/>
      <c r="G9" s="213"/>
      <c r="H9" s="213"/>
      <c r="I9" s="213"/>
      <c r="J9" s="213"/>
      <c r="K9" s="213"/>
      <c r="L9" s="214"/>
      <c r="M9" s="506"/>
    </row>
    <row r="10" spans="1:13" s="31" customFormat="1" x14ac:dyDescent="0.25">
      <c r="A10" s="571"/>
      <c r="B10" s="212" t="s">
        <v>426</v>
      </c>
      <c r="C10" s="213"/>
      <c r="D10" s="250">
        <v>5</v>
      </c>
      <c r="E10" s="213"/>
      <c r="F10" s="213"/>
      <c r="G10" s="213"/>
      <c r="H10" s="213"/>
      <c r="I10" s="213"/>
      <c r="J10" s="213"/>
      <c r="K10" s="213"/>
      <c r="L10" s="214"/>
    </row>
    <row r="11" spans="1:13" s="31" customFormat="1" x14ac:dyDescent="0.25">
      <c r="A11" s="572"/>
      <c r="B11" s="215" t="s">
        <v>401</v>
      </c>
      <c r="C11" s="216"/>
      <c r="D11" s="265">
        <v>1</v>
      </c>
      <c r="E11" s="216"/>
      <c r="F11" s="216"/>
      <c r="G11" s="216"/>
      <c r="H11" s="216"/>
      <c r="I11" s="216"/>
      <c r="J11" s="216"/>
      <c r="K11" s="216"/>
      <c r="L11" s="507"/>
    </row>
    <row r="12" spans="1:13" x14ac:dyDescent="0.25">
      <c r="A12" s="573" t="s">
        <v>354</v>
      </c>
      <c r="B12" s="167" t="str">
        <f>'PLANILHA ORÇAMENTÁRIA'!D11</f>
        <v>Retirada de torneiras e registros</v>
      </c>
      <c r="C12" s="50" t="s">
        <v>56</v>
      </c>
      <c r="D12" s="51">
        <f>SUM(D13:D15)</f>
        <v>10</v>
      </c>
      <c r="E12" s="51"/>
      <c r="F12" s="51"/>
      <c r="G12" s="51"/>
      <c r="H12" s="51"/>
      <c r="I12" s="51"/>
      <c r="J12" s="51"/>
      <c r="K12" s="51"/>
      <c r="L12" s="508">
        <f>D12</f>
        <v>10</v>
      </c>
    </row>
    <row r="13" spans="1:13" x14ac:dyDescent="0.25">
      <c r="A13" s="574"/>
      <c r="B13" s="348" t="s">
        <v>427</v>
      </c>
      <c r="C13" s="349"/>
      <c r="D13" s="221">
        <v>3</v>
      </c>
      <c r="E13" s="349"/>
      <c r="F13" s="349"/>
      <c r="G13" s="349"/>
      <c r="H13" s="349"/>
      <c r="I13" s="349"/>
      <c r="J13" s="349"/>
      <c r="K13" s="349"/>
      <c r="L13" s="509"/>
    </row>
    <row r="14" spans="1:13" x14ac:dyDescent="0.25">
      <c r="A14" s="574"/>
      <c r="B14" s="348" t="s">
        <v>428</v>
      </c>
      <c r="C14" s="349"/>
      <c r="D14" s="221">
        <v>6</v>
      </c>
      <c r="E14" s="349"/>
      <c r="F14" s="349"/>
      <c r="G14" s="349"/>
      <c r="H14" s="349"/>
      <c r="I14" s="349"/>
      <c r="J14" s="349"/>
      <c r="K14" s="349"/>
      <c r="L14" s="509"/>
    </row>
    <row r="15" spans="1:13" x14ac:dyDescent="0.25">
      <c r="A15" s="575"/>
      <c r="B15" s="217" t="s">
        <v>400</v>
      </c>
      <c r="C15" s="218"/>
      <c r="D15" s="222">
        <v>1</v>
      </c>
      <c r="E15" s="218"/>
      <c r="F15" s="218"/>
      <c r="G15" s="218"/>
      <c r="H15" s="218"/>
      <c r="I15" s="218"/>
      <c r="J15" s="218"/>
      <c r="K15" s="218"/>
      <c r="L15" s="510"/>
    </row>
    <row r="16" spans="1:13" x14ac:dyDescent="0.25">
      <c r="A16" s="576" t="s">
        <v>355</v>
      </c>
      <c r="B16" s="49" t="str">
        <f>'PLANILHA ORÇAMENTÁRIA'!D12</f>
        <v>Retirada de portas e janelas de madeira, inclusive batentes</v>
      </c>
      <c r="C16" s="50" t="s">
        <v>11</v>
      </c>
      <c r="D16" s="51"/>
      <c r="E16" s="51"/>
      <c r="F16" s="51"/>
      <c r="G16" s="51"/>
      <c r="H16" s="51">
        <f>SUM(H17:H21)</f>
        <v>8.7200000000000006</v>
      </c>
      <c r="I16" s="51"/>
      <c r="J16" s="51"/>
      <c r="K16" s="51"/>
      <c r="L16" s="508">
        <f>H16</f>
        <v>8.7200000000000006</v>
      </c>
    </row>
    <row r="17" spans="1:12" x14ac:dyDescent="0.25">
      <c r="A17" s="574"/>
      <c r="B17" s="348" t="s">
        <v>437</v>
      </c>
      <c r="C17" s="349"/>
      <c r="D17" s="349"/>
      <c r="E17" s="349"/>
      <c r="F17" s="349"/>
      <c r="G17" s="349"/>
      <c r="H17" s="221">
        <v>1.2</v>
      </c>
      <c r="I17" s="349"/>
      <c r="J17" s="349"/>
      <c r="K17" s="349"/>
      <c r="L17" s="509"/>
    </row>
    <row r="18" spans="1:12" x14ac:dyDescent="0.25">
      <c r="A18" s="574"/>
      <c r="B18" s="348" t="s">
        <v>438</v>
      </c>
      <c r="C18" s="349"/>
      <c r="D18" s="349"/>
      <c r="E18" s="349"/>
      <c r="F18" s="349"/>
      <c r="G18" s="349"/>
      <c r="H18" s="221">
        <v>1.2</v>
      </c>
      <c r="I18" s="349"/>
      <c r="J18" s="349"/>
      <c r="K18" s="349"/>
      <c r="L18" s="509"/>
    </row>
    <row r="19" spans="1:12" x14ac:dyDescent="0.25">
      <c r="A19" s="574"/>
      <c r="B19" s="348" t="s">
        <v>439</v>
      </c>
      <c r="C19" s="349"/>
      <c r="D19" s="349"/>
      <c r="E19" s="349"/>
      <c r="F19" s="349"/>
      <c r="G19" s="349"/>
      <c r="H19" s="221">
        <v>0.72</v>
      </c>
      <c r="I19" s="349"/>
      <c r="J19" s="349"/>
      <c r="K19" s="349"/>
      <c r="L19" s="509"/>
    </row>
    <row r="20" spans="1:12" x14ac:dyDescent="0.25">
      <c r="A20" s="574"/>
      <c r="B20" s="339" t="s">
        <v>440</v>
      </c>
      <c r="C20" s="340"/>
      <c r="D20" s="340"/>
      <c r="E20" s="340"/>
      <c r="F20" s="340"/>
      <c r="G20" s="340"/>
      <c r="H20" s="221">
        <v>3.36</v>
      </c>
      <c r="I20" s="340"/>
      <c r="J20" s="340"/>
      <c r="K20" s="340"/>
      <c r="L20" s="511"/>
    </row>
    <row r="21" spans="1:12" x14ac:dyDescent="0.25">
      <c r="A21" s="575"/>
      <c r="B21" s="184" t="s">
        <v>441</v>
      </c>
      <c r="C21" s="185"/>
      <c r="D21" s="185"/>
      <c r="E21" s="185"/>
      <c r="F21" s="185"/>
      <c r="G21" s="185"/>
      <c r="H21" s="222">
        <v>2.2400000000000002</v>
      </c>
      <c r="I21" s="185"/>
      <c r="J21" s="185"/>
      <c r="K21" s="185"/>
      <c r="L21" s="512"/>
    </row>
    <row r="22" spans="1:12" x14ac:dyDescent="0.25">
      <c r="A22" s="576" t="s">
        <v>356</v>
      </c>
      <c r="B22" s="49" t="str">
        <f>'PLANILHA ORÇAMENTÁRIA'!D13</f>
        <v>Retirada de pateleiras em granito</v>
      </c>
      <c r="C22" s="50" t="s">
        <v>11</v>
      </c>
      <c r="D22" s="51"/>
      <c r="E22" s="51"/>
      <c r="F22" s="51"/>
      <c r="G22" s="51"/>
      <c r="H22" s="51">
        <f>SUM(H23:H25)</f>
        <v>25.299999999999997</v>
      </c>
      <c r="I22" s="51"/>
      <c r="J22" s="51"/>
      <c r="K22" s="51"/>
      <c r="L22" s="513">
        <f>H22</f>
        <v>25.299999999999997</v>
      </c>
    </row>
    <row r="23" spans="1:12" x14ac:dyDescent="0.25">
      <c r="A23" s="577"/>
      <c r="B23" s="348" t="s">
        <v>442</v>
      </c>
      <c r="C23" s="349"/>
      <c r="D23" s="349"/>
      <c r="E23" s="349"/>
      <c r="F23" s="349"/>
      <c r="G23" s="349"/>
      <c r="H23" s="219">
        <v>9.77</v>
      </c>
      <c r="I23" s="349"/>
      <c r="J23" s="349"/>
      <c r="K23" s="349"/>
      <c r="L23" s="509"/>
    </row>
    <row r="24" spans="1:12" x14ac:dyDescent="0.25">
      <c r="A24" s="577"/>
      <c r="B24" s="339" t="s">
        <v>443</v>
      </c>
      <c r="C24" s="340"/>
      <c r="D24" s="340"/>
      <c r="E24" s="340"/>
      <c r="F24" s="340"/>
      <c r="G24" s="340"/>
      <c r="H24" s="219">
        <v>9.77</v>
      </c>
      <c r="I24" s="340"/>
      <c r="J24" s="340"/>
      <c r="K24" s="340"/>
      <c r="L24" s="511"/>
    </row>
    <row r="25" spans="1:12" x14ac:dyDescent="0.25">
      <c r="A25" s="578"/>
      <c r="B25" s="184" t="s">
        <v>444</v>
      </c>
      <c r="C25" s="185"/>
      <c r="D25" s="185"/>
      <c r="E25" s="185"/>
      <c r="F25" s="185"/>
      <c r="G25" s="185"/>
      <c r="H25" s="220">
        <v>5.76</v>
      </c>
      <c r="I25" s="185"/>
      <c r="J25" s="185"/>
      <c r="K25" s="185"/>
      <c r="L25" s="512"/>
    </row>
    <row r="26" spans="1:12" x14ac:dyDescent="0.25">
      <c r="A26" s="576" t="s">
        <v>357</v>
      </c>
      <c r="B26" s="193" t="str">
        <f>'PLANILHA ORÇAMENTÁRIA'!D14</f>
        <v>Remoção de luminárias, de forma manual, sem reaproveitamento</v>
      </c>
      <c r="C26" s="41" t="s">
        <v>56</v>
      </c>
      <c r="D26" s="158">
        <f>SUM(D27:D37)</f>
        <v>23</v>
      </c>
      <c r="E26" s="41"/>
      <c r="F26" s="66"/>
      <c r="G26" s="41"/>
      <c r="H26" s="66"/>
      <c r="I26" s="166"/>
      <c r="J26" s="166"/>
      <c r="K26" s="41"/>
      <c r="L26" s="514">
        <f>D26</f>
        <v>23</v>
      </c>
    </row>
    <row r="27" spans="1:12" x14ac:dyDescent="0.25">
      <c r="A27" s="579"/>
      <c r="B27" s="348" t="s">
        <v>445</v>
      </c>
      <c r="C27" s="349"/>
      <c r="D27" s="221">
        <v>2</v>
      </c>
      <c r="E27" s="349"/>
      <c r="F27" s="349"/>
      <c r="G27" s="349"/>
      <c r="H27" s="349"/>
      <c r="I27" s="349"/>
      <c r="J27" s="349"/>
      <c r="K27" s="349"/>
      <c r="L27" s="509"/>
    </row>
    <row r="28" spans="1:12" x14ac:dyDescent="0.25">
      <c r="A28" s="579"/>
      <c r="B28" s="348" t="s">
        <v>446</v>
      </c>
      <c r="C28" s="349"/>
      <c r="D28" s="221">
        <v>2</v>
      </c>
      <c r="E28" s="349"/>
      <c r="F28" s="349"/>
      <c r="G28" s="349"/>
      <c r="H28" s="349"/>
      <c r="I28" s="349"/>
      <c r="J28" s="349"/>
      <c r="K28" s="349"/>
      <c r="L28" s="509"/>
    </row>
    <row r="29" spans="1:12" x14ac:dyDescent="0.25">
      <c r="A29" s="579"/>
      <c r="B29" s="348" t="s">
        <v>447</v>
      </c>
      <c r="C29" s="349"/>
      <c r="D29" s="221">
        <v>2</v>
      </c>
      <c r="E29" s="349"/>
      <c r="F29" s="349"/>
      <c r="G29" s="349"/>
      <c r="H29" s="349"/>
      <c r="I29" s="349"/>
      <c r="J29" s="349"/>
      <c r="K29" s="349"/>
      <c r="L29" s="509"/>
    </row>
    <row r="30" spans="1:12" x14ac:dyDescent="0.25">
      <c r="A30" s="579"/>
      <c r="B30" s="348" t="s">
        <v>448</v>
      </c>
      <c r="C30" s="349"/>
      <c r="D30" s="221">
        <v>2</v>
      </c>
      <c r="E30" s="349"/>
      <c r="F30" s="349"/>
      <c r="G30" s="349"/>
      <c r="H30" s="349"/>
      <c r="I30" s="349"/>
      <c r="J30" s="349"/>
      <c r="K30" s="349"/>
      <c r="L30" s="509"/>
    </row>
    <row r="31" spans="1:12" x14ac:dyDescent="0.25">
      <c r="A31" s="579"/>
      <c r="B31" s="348" t="s">
        <v>246</v>
      </c>
      <c r="C31" s="349"/>
      <c r="D31" s="221">
        <v>1</v>
      </c>
      <c r="E31" s="349"/>
      <c r="F31" s="349"/>
      <c r="G31" s="349"/>
      <c r="H31" s="349"/>
      <c r="I31" s="349"/>
      <c r="J31" s="349"/>
      <c r="K31" s="349"/>
      <c r="L31" s="509"/>
    </row>
    <row r="32" spans="1:12" x14ac:dyDescent="0.25">
      <c r="A32" s="579"/>
      <c r="B32" s="348" t="s">
        <v>436</v>
      </c>
      <c r="C32" s="349"/>
      <c r="D32" s="221">
        <v>1</v>
      </c>
      <c r="E32" s="349"/>
      <c r="F32" s="349"/>
      <c r="G32" s="349"/>
      <c r="H32" s="349"/>
      <c r="I32" s="349"/>
      <c r="J32" s="349"/>
      <c r="K32" s="349"/>
      <c r="L32" s="509"/>
    </row>
    <row r="33" spans="1:14" x14ac:dyDescent="0.25">
      <c r="A33" s="579"/>
      <c r="B33" s="348" t="s">
        <v>389</v>
      </c>
      <c r="C33" s="349"/>
      <c r="D33" s="221">
        <v>1</v>
      </c>
      <c r="E33" s="349"/>
      <c r="F33" s="349"/>
      <c r="G33" s="349"/>
      <c r="H33" s="349"/>
      <c r="I33" s="349"/>
      <c r="J33" s="349"/>
      <c r="K33" s="349"/>
      <c r="L33" s="509"/>
    </row>
    <row r="34" spans="1:14" x14ac:dyDescent="0.25">
      <c r="A34" s="579"/>
      <c r="B34" s="348" t="s">
        <v>449</v>
      </c>
      <c r="C34" s="349"/>
      <c r="D34" s="221">
        <v>7</v>
      </c>
      <c r="E34" s="349"/>
      <c r="F34" s="349"/>
      <c r="G34" s="349"/>
      <c r="H34" s="349"/>
      <c r="I34" s="349"/>
      <c r="J34" s="349"/>
      <c r="K34" s="349"/>
      <c r="L34" s="509"/>
    </row>
    <row r="35" spans="1:14" x14ac:dyDescent="0.25">
      <c r="A35" s="579"/>
      <c r="B35" s="348" t="s">
        <v>450</v>
      </c>
      <c r="C35" s="349"/>
      <c r="D35" s="221">
        <v>2</v>
      </c>
      <c r="E35" s="349"/>
      <c r="F35" s="349"/>
      <c r="G35" s="349"/>
      <c r="H35" s="349"/>
      <c r="I35" s="349"/>
      <c r="J35" s="349"/>
      <c r="K35" s="349"/>
      <c r="L35" s="509"/>
    </row>
    <row r="36" spans="1:14" x14ac:dyDescent="0.25">
      <c r="A36" s="580"/>
      <c r="B36" s="348" t="s">
        <v>338</v>
      </c>
      <c r="C36" s="349"/>
      <c r="D36" s="221">
        <v>1</v>
      </c>
      <c r="E36" s="349"/>
      <c r="F36" s="349"/>
      <c r="G36" s="349"/>
      <c r="H36" s="349"/>
      <c r="I36" s="349"/>
      <c r="J36" s="349"/>
      <c r="K36" s="349"/>
      <c r="L36" s="509"/>
    </row>
    <row r="37" spans="1:14" x14ac:dyDescent="0.25">
      <c r="A37" s="581"/>
      <c r="B37" s="217" t="s">
        <v>451</v>
      </c>
      <c r="C37" s="218"/>
      <c r="D37" s="222">
        <v>2</v>
      </c>
      <c r="E37" s="218"/>
      <c r="F37" s="218"/>
      <c r="G37" s="218"/>
      <c r="H37" s="218"/>
      <c r="I37" s="218"/>
      <c r="J37" s="218"/>
      <c r="K37" s="218"/>
      <c r="L37" s="510"/>
    </row>
    <row r="38" spans="1:14" x14ac:dyDescent="0.25">
      <c r="A38" s="582" t="s">
        <v>358</v>
      </c>
      <c r="B38" s="67" t="str">
        <f>'PLANILHA ORÇAMENTÁRIA'!D15</f>
        <v>Retirada de ventilador, de forma manual</v>
      </c>
      <c r="C38" s="42" t="s">
        <v>56</v>
      </c>
      <c r="D38" s="68">
        <f>SUM(D39:D40)</f>
        <v>2</v>
      </c>
      <c r="E38" s="42"/>
      <c r="F38" s="42"/>
      <c r="G38" s="42"/>
      <c r="H38" s="42"/>
      <c r="I38" s="42"/>
      <c r="J38" s="42"/>
      <c r="K38" s="42"/>
      <c r="L38" s="516">
        <f>D38</f>
        <v>2</v>
      </c>
    </row>
    <row r="39" spans="1:14" x14ac:dyDescent="0.25">
      <c r="A39" s="583"/>
      <c r="B39" s="348" t="s">
        <v>206</v>
      </c>
      <c r="C39" s="349"/>
      <c r="D39" s="221">
        <v>1</v>
      </c>
      <c r="E39" s="349"/>
      <c r="F39" s="349"/>
      <c r="G39" s="349"/>
      <c r="H39" s="349"/>
      <c r="I39" s="349"/>
      <c r="J39" s="349"/>
      <c r="K39" s="349"/>
      <c r="L39" s="509"/>
      <c r="N39" s="69"/>
    </row>
    <row r="40" spans="1:14" x14ac:dyDescent="0.25">
      <c r="A40" s="581"/>
      <c r="B40" s="217" t="s">
        <v>407</v>
      </c>
      <c r="C40" s="218"/>
      <c r="D40" s="222">
        <v>1</v>
      </c>
      <c r="E40" s="218"/>
      <c r="F40" s="218"/>
      <c r="G40" s="218"/>
      <c r="H40" s="218"/>
      <c r="I40" s="218"/>
      <c r="J40" s="218"/>
      <c r="K40" s="218"/>
      <c r="L40" s="510"/>
    </row>
    <row r="41" spans="1:14" x14ac:dyDescent="0.25">
      <c r="A41" s="576" t="s">
        <v>421</v>
      </c>
      <c r="B41" s="49" t="str">
        <f>'PLANILHA ORÇAMENTÁRIA'!D16</f>
        <v>Demolição de piso revestido com cerâmica</v>
      </c>
      <c r="C41" s="50" t="s">
        <v>11</v>
      </c>
      <c r="D41" s="51"/>
      <c r="E41" s="51"/>
      <c r="F41" s="51"/>
      <c r="G41" s="51"/>
      <c r="H41" s="51">
        <f>SUM(H42:H45)</f>
        <v>60.61</v>
      </c>
      <c r="I41" s="51"/>
      <c r="J41" s="51"/>
      <c r="K41" s="51"/>
      <c r="L41" s="508">
        <f>H41</f>
        <v>60.61</v>
      </c>
    </row>
    <row r="42" spans="1:14" x14ac:dyDescent="0.25">
      <c r="A42" s="574"/>
      <c r="B42" s="348" t="s">
        <v>452</v>
      </c>
      <c r="C42" s="349"/>
      <c r="D42" s="349"/>
      <c r="E42" s="349"/>
      <c r="F42" s="349"/>
      <c r="G42" s="349"/>
      <c r="H42" s="221">
        <v>16</v>
      </c>
      <c r="I42" s="349"/>
      <c r="J42" s="349"/>
      <c r="K42" s="349"/>
      <c r="L42" s="509"/>
    </row>
    <row r="43" spans="1:14" x14ac:dyDescent="0.25">
      <c r="A43" s="574"/>
      <c r="B43" s="348" t="s">
        <v>453</v>
      </c>
      <c r="C43" s="349"/>
      <c r="D43" s="349"/>
      <c r="E43" s="349"/>
      <c r="F43" s="349"/>
      <c r="G43" s="349"/>
      <c r="H43" s="221">
        <v>21.82</v>
      </c>
      <c r="I43" s="349"/>
      <c r="J43" s="349"/>
      <c r="K43" s="349"/>
      <c r="L43" s="509"/>
    </row>
    <row r="44" spans="1:14" x14ac:dyDescent="0.25">
      <c r="A44" s="584"/>
      <c r="B44" s="223" t="s">
        <v>246</v>
      </c>
      <c r="C44" s="224"/>
      <c r="D44" s="224"/>
      <c r="E44" s="224"/>
      <c r="F44" s="224"/>
      <c r="G44" s="224"/>
      <c r="H44" s="225">
        <v>14.62</v>
      </c>
      <c r="I44" s="224"/>
      <c r="J44" s="224"/>
      <c r="K44" s="224"/>
      <c r="L44" s="517"/>
    </row>
    <row r="45" spans="1:14" x14ac:dyDescent="0.25">
      <c r="A45" s="575"/>
      <c r="B45" s="52" t="s">
        <v>454</v>
      </c>
      <c r="C45" s="53"/>
      <c r="D45" s="53"/>
      <c r="E45" s="53"/>
      <c r="F45" s="53"/>
      <c r="G45" s="53"/>
      <c r="H45" s="226">
        <v>8.17</v>
      </c>
      <c r="I45" s="53"/>
      <c r="J45" s="53"/>
      <c r="K45" s="53"/>
      <c r="L45" s="518"/>
      <c r="M45" s="128"/>
    </row>
    <row r="46" spans="1:14" ht="31.5" x14ac:dyDescent="0.25">
      <c r="A46" s="576" t="s">
        <v>359</v>
      </c>
      <c r="B46" s="60" t="str">
        <f>'PLANILHA ORÇAMENTÁRIA'!D17</f>
        <v>Demolição de revestimento cerâmico, de forma manual, sem reaproveitamento</v>
      </c>
      <c r="C46" s="41" t="s">
        <v>11</v>
      </c>
      <c r="D46" s="43"/>
      <c r="E46" s="43"/>
      <c r="F46" s="43"/>
      <c r="G46" s="43"/>
      <c r="H46" s="43">
        <f>SUM(H47:H53)</f>
        <v>275.95000000000005</v>
      </c>
      <c r="I46" s="43"/>
      <c r="J46" s="43"/>
      <c r="K46" s="43"/>
      <c r="L46" s="519">
        <f>H46</f>
        <v>275.95000000000005</v>
      </c>
    </row>
    <row r="47" spans="1:14" x14ac:dyDescent="0.25">
      <c r="A47" s="579"/>
      <c r="B47" s="414" t="s">
        <v>501</v>
      </c>
      <c r="C47" s="415"/>
      <c r="D47" s="415"/>
      <c r="E47" s="415"/>
      <c r="F47" s="415"/>
      <c r="G47" s="415"/>
      <c r="H47" s="221">
        <v>29.69</v>
      </c>
      <c r="I47" s="349"/>
      <c r="J47" s="349"/>
      <c r="K47" s="349"/>
      <c r="L47" s="509"/>
    </row>
    <row r="48" spans="1:14" x14ac:dyDescent="0.25">
      <c r="A48" s="579"/>
      <c r="B48" s="400" t="s">
        <v>502</v>
      </c>
      <c r="C48" s="401"/>
      <c r="D48" s="401"/>
      <c r="E48" s="401"/>
      <c r="F48" s="401"/>
      <c r="G48" s="401"/>
      <c r="H48" s="221">
        <v>35.06</v>
      </c>
      <c r="I48" s="349"/>
      <c r="J48" s="349"/>
      <c r="K48" s="349"/>
      <c r="L48" s="509"/>
    </row>
    <row r="49" spans="1:12" x14ac:dyDescent="0.25">
      <c r="A49" s="580"/>
      <c r="B49" s="400" t="s">
        <v>503</v>
      </c>
      <c r="C49" s="401"/>
      <c r="D49" s="401"/>
      <c r="E49" s="401"/>
      <c r="F49" s="401"/>
      <c r="G49" s="401"/>
      <c r="H49" s="227">
        <v>47.84</v>
      </c>
      <c r="I49" s="186"/>
      <c r="J49" s="186"/>
      <c r="K49" s="186"/>
      <c r="L49" s="520"/>
    </row>
    <row r="50" spans="1:12" x14ac:dyDescent="0.25">
      <c r="A50" s="580"/>
      <c r="B50" s="282" t="s">
        <v>504</v>
      </c>
      <c r="C50" s="186"/>
      <c r="D50" s="186"/>
      <c r="E50" s="186"/>
      <c r="F50" s="186"/>
      <c r="G50" s="186"/>
      <c r="H50" s="227">
        <v>47.84</v>
      </c>
      <c r="I50" s="186"/>
      <c r="J50" s="186"/>
      <c r="K50" s="186"/>
      <c r="L50" s="520"/>
    </row>
    <row r="51" spans="1:12" x14ac:dyDescent="0.25">
      <c r="A51" s="580"/>
      <c r="B51" s="400" t="s">
        <v>505</v>
      </c>
      <c r="C51" s="401"/>
      <c r="D51" s="401"/>
      <c r="E51" s="401"/>
      <c r="F51" s="401"/>
      <c r="G51" s="401"/>
      <c r="H51" s="227">
        <v>47.74</v>
      </c>
      <c r="I51" s="186"/>
      <c r="J51" s="186"/>
      <c r="K51" s="186"/>
      <c r="L51" s="520"/>
    </row>
    <row r="52" spans="1:12" x14ac:dyDescent="0.25">
      <c r="A52" s="580"/>
      <c r="B52" s="400" t="s">
        <v>506</v>
      </c>
      <c r="C52" s="401"/>
      <c r="D52" s="401"/>
      <c r="E52" s="401"/>
      <c r="F52" s="401"/>
      <c r="G52" s="401"/>
      <c r="H52" s="227">
        <v>47.74</v>
      </c>
      <c r="I52" s="186"/>
      <c r="J52" s="186"/>
      <c r="K52" s="186"/>
      <c r="L52" s="520"/>
    </row>
    <row r="53" spans="1:12" ht="27" customHeight="1" x14ac:dyDescent="0.25">
      <c r="A53" s="585"/>
      <c r="B53" s="396" t="s">
        <v>573</v>
      </c>
      <c r="C53" s="397"/>
      <c r="D53" s="397"/>
      <c r="E53" s="397"/>
      <c r="F53" s="397"/>
      <c r="G53" s="397"/>
      <c r="H53" s="222">
        <v>20.04</v>
      </c>
      <c r="I53" s="218"/>
      <c r="J53" s="218"/>
      <c r="K53" s="218"/>
      <c r="L53" s="510"/>
    </row>
    <row r="54" spans="1:12" x14ac:dyDescent="0.25">
      <c r="A54" s="576" t="s">
        <v>360</v>
      </c>
      <c r="B54" s="49" t="str">
        <f>'PLANILHA ORÇAMENTÁRIA'!D18</f>
        <v>Demolição de alvenaria</v>
      </c>
      <c r="C54" s="50" t="s">
        <v>47</v>
      </c>
      <c r="D54" s="51"/>
      <c r="E54" s="51"/>
      <c r="F54" s="51"/>
      <c r="G54" s="51"/>
      <c r="H54" s="51"/>
      <c r="I54" s="51">
        <f>SUM(I55:I63)</f>
        <v>7.3844999999999992</v>
      </c>
      <c r="J54" s="51"/>
      <c r="K54" s="51"/>
      <c r="L54" s="513">
        <f>I54</f>
        <v>7.3844999999999992</v>
      </c>
    </row>
    <row r="55" spans="1:12" x14ac:dyDescent="0.25">
      <c r="A55" s="586"/>
      <c r="B55" s="113" t="s">
        <v>634</v>
      </c>
      <c r="C55" s="111"/>
      <c r="D55" s="112"/>
      <c r="E55" s="112"/>
      <c r="F55" s="112"/>
      <c r="G55" s="112"/>
      <c r="H55" s="112"/>
      <c r="I55" s="163">
        <v>0.04</v>
      </c>
      <c r="J55" s="112"/>
      <c r="K55" s="112"/>
      <c r="L55" s="521"/>
    </row>
    <row r="56" spans="1:12" x14ac:dyDescent="0.25">
      <c r="A56" s="586"/>
      <c r="B56" s="113" t="s">
        <v>633</v>
      </c>
      <c r="C56" s="111"/>
      <c r="D56" s="112"/>
      <c r="E56" s="112"/>
      <c r="F56" s="112"/>
      <c r="G56" s="112"/>
      <c r="H56" s="112"/>
      <c r="I56" s="163">
        <v>0.1</v>
      </c>
      <c r="J56" s="112"/>
      <c r="K56" s="112"/>
      <c r="L56" s="521"/>
    </row>
    <row r="57" spans="1:12" x14ac:dyDescent="0.25">
      <c r="A57" s="586"/>
      <c r="B57" s="113" t="s">
        <v>632</v>
      </c>
      <c r="C57" s="111"/>
      <c r="D57" s="112"/>
      <c r="E57" s="112"/>
      <c r="F57" s="112"/>
      <c r="G57" s="112"/>
      <c r="H57" s="112"/>
      <c r="I57" s="163">
        <f>0.7*0.45*0.3</f>
        <v>9.4500000000000001E-2</v>
      </c>
      <c r="J57" s="112"/>
      <c r="K57" s="112"/>
      <c r="L57" s="521"/>
    </row>
    <row r="58" spans="1:12" x14ac:dyDescent="0.25">
      <c r="A58" s="574"/>
      <c r="B58" s="388" t="s">
        <v>455</v>
      </c>
      <c r="C58" s="389"/>
      <c r="D58" s="389"/>
      <c r="E58" s="349"/>
      <c r="F58" s="349"/>
      <c r="G58" s="349"/>
      <c r="H58" s="349"/>
      <c r="I58" s="219">
        <v>2.96</v>
      </c>
      <c r="J58" s="349"/>
      <c r="K58" s="349"/>
      <c r="L58" s="509"/>
    </row>
    <row r="59" spans="1:12" x14ac:dyDescent="0.25">
      <c r="A59" s="574"/>
      <c r="B59" s="404" t="s">
        <v>456</v>
      </c>
      <c r="C59" s="405"/>
      <c r="D59" s="405"/>
      <c r="E59" s="349"/>
      <c r="F59" s="349"/>
      <c r="G59" s="349"/>
      <c r="H59" s="349"/>
      <c r="I59" s="219">
        <v>2.83</v>
      </c>
      <c r="J59" s="349"/>
      <c r="K59" s="349"/>
      <c r="L59" s="509"/>
    </row>
    <row r="60" spans="1:12" x14ac:dyDescent="0.25">
      <c r="A60" s="574"/>
      <c r="B60" s="339" t="s">
        <v>457</v>
      </c>
      <c r="C60" s="340"/>
      <c r="D60" s="340"/>
      <c r="E60" s="340"/>
      <c r="F60" s="340"/>
      <c r="G60" s="340"/>
      <c r="H60" s="340"/>
      <c r="I60" s="219">
        <v>0.43</v>
      </c>
      <c r="J60" s="340"/>
      <c r="K60" s="340"/>
      <c r="L60" s="511"/>
    </row>
    <row r="61" spans="1:12" x14ac:dyDescent="0.25">
      <c r="A61" s="574"/>
      <c r="B61" s="348" t="s">
        <v>458</v>
      </c>
      <c r="C61" s="349"/>
      <c r="D61" s="349"/>
      <c r="E61" s="349"/>
      <c r="F61" s="349"/>
      <c r="G61" s="349"/>
      <c r="H61" s="349"/>
      <c r="I61" s="219">
        <v>0.09</v>
      </c>
      <c r="J61" s="349"/>
      <c r="K61" s="349"/>
      <c r="L61" s="509"/>
    </row>
    <row r="62" spans="1:12" x14ac:dyDescent="0.25">
      <c r="A62" s="574"/>
      <c r="B62" s="348" t="s">
        <v>468</v>
      </c>
      <c r="C62" s="349"/>
      <c r="D62" s="349"/>
      <c r="E62" s="349"/>
      <c r="F62" s="349"/>
      <c r="G62" s="349"/>
      <c r="H62" s="349"/>
      <c r="I62" s="219">
        <v>0.17</v>
      </c>
      <c r="J62" s="349"/>
      <c r="K62" s="349"/>
      <c r="L62" s="509"/>
    </row>
    <row r="63" spans="1:12" x14ac:dyDescent="0.25">
      <c r="A63" s="575"/>
      <c r="B63" s="217" t="s">
        <v>459</v>
      </c>
      <c r="C63" s="218"/>
      <c r="D63" s="218"/>
      <c r="E63" s="218"/>
      <c r="F63" s="218"/>
      <c r="G63" s="218"/>
      <c r="H63" s="218"/>
      <c r="I63" s="220">
        <v>0.67</v>
      </c>
      <c r="J63" s="218"/>
      <c r="K63" s="218"/>
      <c r="L63" s="510"/>
    </row>
    <row r="64" spans="1:12" x14ac:dyDescent="0.25">
      <c r="A64" s="576" t="s">
        <v>361</v>
      </c>
      <c r="B64" s="49" t="str">
        <f>'PLANILHA ORÇAMENTÁRIA'!D19</f>
        <v>Remoção de pintura antiga a base de óleo ou esmalte sobre esquadrias</v>
      </c>
      <c r="C64" s="50" t="s">
        <v>11</v>
      </c>
      <c r="D64" s="51"/>
      <c r="E64" s="51"/>
      <c r="F64" s="51"/>
      <c r="G64" s="51"/>
      <c r="H64" s="51">
        <f>SUM(H65:H72)</f>
        <v>84.460000000000008</v>
      </c>
      <c r="I64" s="51"/>
      <c r="J64" s="51"/>
      <c r="K64" s="51"/>
      <c r="L64" s="508">
        <f>H64</f>
        <v>84.460000000000008</v>
      </c>
    </row>
    <row r="65" spans="1:12" x14ac:dyDescent="0.25">
      <c r="A65" s="574"/>
      <c r="B65" s="348" t="s">
        <v>482</v>
      </c>
      <c r="C65" s="349"/>
      <c r="D65" s="349"/>
      <c r="E65" s="349"/>
      <c r="F65" s="349"/>
      <c r="G65" s="349"/>
      <c r="H65" s="221">
        <v>42.56</v>
      </c>
      <c r="I65" s="349"/>
      <c r="J65" s="349"/>
      <c r="K65" s="349"/>
      <c r="L65" s="509"/>
    </row>
    <row r="66" spans="1:12" x14ac:dyDescent="0.25">
      <c r="A66" s="574"/>
      <c r="B66" s="348" t="s">
        <v>489</v>
      </c>
      <c r="C66" s="349"/>
      <c r="D66" s="349"/>
      <c r="E66" s="349"/>
      <c r="F66" s="349"/>
      <c r="G66" s="349"/>
      <c r="H66" s="221">
        <v>1.8</v>
      </c>
      <c r="I66" s="349"/>
      <c r="J66" s="349"/>
      <c r="K66" s="349"/>
      <c r="L66" s="509"/>
    </row>
    <row r="67" spans="1:12" x14ac:dyDescent="0.25">
      <c r="A67" s="574"/>
      <c r="B67" s="348" t="s">
        <v>488</v>
      </c>
      <c r="C67" s="349"/>
      <c r="D67" s="349"/>
      <c r="E67" s="349"/>
      <c r="F67" s="349"/>
      <c r="G67" s="349"/>
      <c r="H67" s="221">
        <v>5.07</v>
      </c>
      <c r="I67" s="349"/>
      <c r="J67" s="349"/>
      <c r="K67" s="349"/>
      <c r="L67" s="509"/>
    </row>
    <row r="68" spans="1:12" x14ac:dyDescent="0.25">
      <c r="A68" s="574"/>
      <c r="B68" s="348" t="s">
        <v>487</v>
      </c>
      <c r="C68" s="349"/>
      <c r="D68" s="349"/>
      <c r="E68" s="349"/>
      <c r="F68" s="349"/>
      <c r="G68" s="349"/>
      <c r="H68" s="221">
        <v>6.14</v>
      </c>
      <c r="I68" s="349"/>
      <c r="J68" s="349"/>
      <c r="K68" s="349"/>
      <c r="L68" s="509"/>
    </row>
    <row r="69" spans="1:12" x14ac:dyDescent="0.25">
      <c r="A69" s="574"/>
      <c r="B69" s="348" t="s">
        <v>483</v>
      </c>
      <c r="C69" s="349"/>
      <c r="D69" s="349"/>
      <c r="E69" s="349"/>
      <c r="F69" s="349"/>
      <c r="G69" s="349"/>
      <c r="H69" s="221">
        <v>17.64</v>
      </c>
      <c r="I69" s="349"/>
      <c r="J69" s="349"/>
      <c r="K69" s="349"/>
      <c r="L69" s="509"/>
    </row>
    <row r="70" spans="1:12" x14ac:dyDescent="0.25">
      <c r="A70" s="574"/>
      <c r="B70" s="348" t="s">
        <v>484</v>
      </c>
      <c r="C70" s="349"/>
      <c r="D70" s="349"/>
      <c r="E70" s="349"/>
      <c r="F70" s="349"/>
      <c r="G70" s="349"/>
      <c r="H70" s="221">
        <v>4</v>
      </c>
      <c r="I70" s="349"/>
      <c r="J70" s="349"/>
      <c r="K70" s="349"/>
      <c r="L70" s="509"/>
    </row>
    <row r="71" spans="1:12" x14ac:dyDescent="0.25">
      <c r="A71" s="574"/>
      <c r="B71" s="348" t="s">
        <v>485</v>
      </c>
      <c r="C71" s="340"/>
      <c r="D71" s="340"/>
      <c r="E71" s="340"/>
      <c r="F71" s="340"/>
      <c r="G71" s="340"/>
      <c r="H71" s="221">
        <v>5.25</v>
      </c>
      <c r="I71" s="340"/>
      <c r="J71" s="340"/>
      <c r="K71" s="340"/>
      <c r="L71" s="511"/>
    </row>
    <row r="72" spans="1:12" x14ac:dyDescent="0.25">
      <c r="A72" s="575"/>
      <c r="B72" s="217" t="s">
        <v>486</v>
      </c>
      <c r="C72" s="185"/>
      <c r="D72" s="185"/>
      <c r="E72" s="185"/>
      <c r="F72" s="185"/>
      <c r="G72" s="185"/>
      <c r="H72" s="222">
        <v>2</v>
      </c>
      <c r="I72" s="185"/>
      <c r="J72" s="185"/>
      <c r="K72" s="185"/>
      <c r="L72" s="512"/>
    </row>
    <row r="73" spans="1:12" ht="31.5" x14ac:dyDescent="0.25">
      <c r="A73" s="576" t="s">
        <v>362</v>
      </c>
      <c r="B73" s="110" t="str">
        <f>'PLANILHA ORÇAMENTÁRIA'!D20</f>
        <v xml:space="preserve">Remoção de forros de drywall, PVC e fibromineral, de forma manual, sem reaproveitamento </v>
      </c>
      <c r="C73" s="41" t="s">
        <v>11</v>
      </c>
      <c r="D73" s="43"/>
      <c r="E73" s="43"/>
      <c r="F73" s="43"/>
      <c r="G73" s="43"/>
      <c r="H73" s="43">
        <f>SUM(H74:H84)</f>
        <v>343.67000000000007</v>
      </c>
      <c r="I73" s="43"/>
      <c r="J73" s="43"/>
      <c r="K73" s="43"/>
      <c r="L73" s="333">
        <f>H73</f>
        <v>343.67000000000007</v>
      </c>
    </row>
    <row r="74" spans="1:12" x14ac:dyDescent="0.25">
      <c r="A74" s="574"/>
      <c r="B74" s="348" t="s">
        <v>445</v>
      </c>
      <c r="C74" s="349"/>
      <c r="D74" s="349"/>
      <c r="E74" s="349"/>
      <c r="F74" s="349"/>
      <c r="G74" s="349"/>
      <c r="H74" s="221">
        <v>47.24</v>
      </c>
      <c r="I74" s="349"/>
      <c r="J74" s="349"/>
      <c r="K74" s="349"/>
      <c r="L74" s="509"/>
    </row>
    <row r="75" spans="1:12" x14ac:dyDescent="0.25">
      <c r="A75" s="574"/>
      <c r="B75" s="348" t="s">
        <v>446</v>
      </c>
      <c r="C75" s="349"/>
      <c r="D75" s="349"/>
      <c r="E75" s="349"/>
      <c r="F75" s="349"/>
      <c r="G75" s="349"/>
      <c r="H75" s="221">
        <v>47.24</v>
      </c>
      <c r="I75" s="349"/>
      <c r="J75" s="349"/>
      <c r="K75" s="349"/>
      <c r="L75" s="509"/>
    </row>
    <row r="76" spans="1:12" x14ac:dyDescent="0.25">
      <c r="A76" s="574"/>
      <c r="B76" s="348" t="s">
        <v>447</v>
      </c>
      <c r="C76" s="349"/>
      <c r="D76" s="349"/>
      <c r="E76" s="349"/>
      <c r="F76" s="349"/>
      <c r="G76" s="349"/>
      <c r="H76" s="221">
        <v>47.06</v>
      </c>
      <c r="I76" s="349"/>
      <c r="J76" s="349"/>
      <c r="K76" s="349"/>
      <c r="L76" s="509"/>
    </row>
    <row r="77" spans="1:12" x14ac:dyDescent="0.25">
      <c r="A77" s="574"/>
      <c r="B77" s="348" t="s">
        <v>448</v>
      </c>
      <c r="C77" s="349"/>
      <c r="D77" s="349"/>
      <c r="E77" s="349"/>
      <c r="F77" s="349"/>
      <c r="G77" s="349"/>
      <c r="H77" s="221">
        <v>47.06</v>
      </c>
      <c r="I77" s="349"/>
      <c r="J77" s="349"/>
      <c r="K77" s="349"/>
      <c r="L77" s="509"/>
    </row>
    <row r="78" spans="1:12" x14ac:dyDescent="0.25">
      <c r="A78" s="574"/>
      <c r="B78" s="348" t="s">
        <v>246</v>
      </c>
      <c r="C78" s="349"/>
      <c r="D78" s="349"/>
      <c r="E78" s="349"/>
      <c r="F78" s="349"/>
      <c r="G78" s="349"/>
      <c r="H78" s="221">
        <v>14.62</v>
      </c>
      <c r="I78" s="349"/>
      <c r="J78" s="349"/>
      <c r="K78" s="349"/>
      <c r="L78" s="509"/>
    </row>
    <row r="79" spans="1:12" x14ac:dyDescent="0.25">
      <c r="A79" s="574"/>
      <c r="B79" s="348" t="s">
        <v>436</v>
      </c>
      <c r="C79" s="349"/>
      <c r="D79" s="349"/>
      <c r="E79" s="349"/>
      <c r="F79" s="349"/>
      <c r="G79" s="349"/>
      <c r="H79" s="221">
        <v>14.62</v>
      </c>
      <c r="I79" s="349"/>
      <c r="J79" s="349"/>
      <c r="K79" s="349"/>
      <c r="L79" s="509"/>
    </row>
    <row r="80" spans="1:12" x14ac:dyDescent="0.25">
      <c r="A80" s="574"/>
      <c r="B80" s="348" t="s">
        <v>206</v>
      </c>
      <c r="C80" s="349"/>
      <c r="D80" s="349"/>
      <c r="E80" s="349"/>
      <c r="F80" s="349"/>
      <c r="G80" s="349"/>
      <c r="H80" s="221">
        <v>9.81</v>
      </c>
      <c r="I80" s="349"/>
      <c r="J80" s="349"/>
      <c r="K80" s="349"/>
      <c r="L80" s="509"/>
    </row>
    <row r="81" spans="1:12" x14ac:dyDescent="0.25">
      <c r="A81" s="574"/>
      <c r="B81" s="348" t="s">
        <v>389</v>
      </c>
      <c r="C81" s="349"/>
      <c r="D81" s="349"/>
      <c r="E81" s="349"/>
      <c r="F81" s="349"/>
      <c r="G81" s="349"/>
      <c r="H81" s="221">
        <v>11.68</v>
      </c>
      <c r="I81" s="349"/>
      <c r="J81" s="349"/>
      <c r="K81" s="349"/>
      <c r="L81" s="509"/>
    </row>
    <row r="82" spans="1:12" x14ac:dyDescent="0.25">
      <c r="A82" s="574"/>
      <c r="B82" s="348" t="s">
        <v>449</v>
      </c>
      <c r="C82" s="349"/>
      <c r="D82" s="349"/>
      <c r="E82" s="349"/>
      <c r="F82" s="349"/>
      <c r="G82" s="349"/>
      <c r="H82" s="221">
        <v>11.68</v>
      </c>
      <c r="I82" s="349"/>
      <c r="J82" s="349"/>
      <c r="K82" s="349"/>
      <c r="L82" s="509"/>
    </row>
    <row r="83" spans="1:12" x14ac:dyDescent="0.25">
      <c r="A83" s="574"/>
      <c r="B83" s="348" t="s">
        <v>450</v>
      </c>
      <c r="C83" s="349"/>
      <c r="D83" s="349"/>
      <c r="E83" s="349"/>
      <c r="F83" s="349"/>
      <c r="G83" s="349"/>
      <c r="H83" s="221">
        <v>20.93</v>
      </c>
      <c r="I83" s="349"/>
      <c r="J83" s="349"/>
      <c r="K83" s="349"/>
      <c r="L83" s="509"/>
    </row>
    <row r="84" spans="1:12" x14ac:dyDescent="0.25">
      <c r="A84" s="575"/>
      <c r="B84" s="217" t="s">
        <v>338</v>
      </c>
      <c r="C84" s="218"/>
      <c r="D84" s="218"/>
      <c r="E84" s="218"/>
      <c r="F84" s="218"/>
      <c r="G84" s="218"/>
      <c r="H84" s="222">
        <v>71.73</v>
      </c>
      <c r="I84" s="218"/>
      <c r="J84" s="218"/>
      <c r="K84" s="218"/>
      <c r="L84" s="510"/>
    </row>
    <row r="85" spans="1:12" x14ac:dyDescent="0.25">
      <c r="A85" s="576" t="s">
        <v>363</v>
      </c>
      <c r="B85" s="49" t="str">
        <f>'PLANILHA ORÇAMENTÁRIA'!D21</f>
        <v>Remoção de telhas de fibrocimento, metálica e cerâmica, de forma manual, sem reaproveitamento</v>
      </c>
      <c r="C85" s="50" t="s">
        <v>11</v>
      </c>
      <c r="D85" s="51"/>
      <c r="E85" s="51"/>
      <c r="F85" s="51"/>
      <c r="G85" s="51"/>
      <c r="H85" s="51">
        <f>SUM(H86:H87)</f>
        <v>413.86</v>
      </c>
      <c r="I85" s="51"/>
      <c r="J85" s="51"/>
      <c r="K85" s="51"/>
      <c r="L85" s="508">
        <f>H85</f>
        <v>413.86</v>
      </c>
    </row>
    <row r="86" spans="1:12" x14ac:dyDescent="0.25">
      <c r="A86" s="574"/>
      <c r="B86" s="230" t="s">
        <v>460</v>
      </c>
      <c r="C86" s="228"/>
      <c r="D86" s="228"/>
      <c r="E86" s="228"/>
      <c r="F86" s="228"/>
      <c r="G86" s="228"/>
      <c r="H86" s="221">
        <v>408.86</v>
      </c>
      <c r="I86" s="228"/>
      <c r="J86" s="228"/>
      <c r="K86" s="228"/>
      <c r="L86" s="522"/>
    </row>
    <row r="87" spans="1:12" x14ac:dyDescent="0.25">
      <c r="A87" s="587"/>
      <c r="B87" s="231" t="s">
        <v>461</v>
      </c>
      <c r="C87" s="232"/>
      <c r="D87" s="232"/>
      <c r="E87" s="232"/>
      <c r="F87" s="232"/>
      <c r="G87" s="232"/>
      <c r="H87" s="226">
        <v>5</v>
      </c>
      <c r="I87" s="232"/>
      <c r="J87" s="232"/>
      <c r="K87" s="232"/>
      <c r="L87" s="523"/>
    </row>
    <row r="88" spans="1:12" x14ac:dyDescent="0.25">
      <c r="A88" s="576" t="s">
        <v>364</v>
      </c>
      <c r="B88" s="49" t="str">
        <f>'PLANILHA ORÇAMENTÁRIA'!D22</f>
        <v>Demolição manual de concreto simples (EMOP 05.001.001)</v>
      </c>
      <c r="C88" s="50" t="s">
        <v>188</v>
      </c>
      <c r="D88" s="51"/>
      <c r="E88" s="51"/>
      <c r="F88" s="51"/>
      <c r="G88" s="51"/>
      <c r="H88" s="51"/>
      <c r="I88" s="51">
        <f>I89</f>
        <v>6.66</v>
      </c>
      <c r="J88" s="51"/>
      <c r="K88" s="51"/>
      <c r="L88" s="508">
        <f>I88</f>
        <v>6.66</v>
      </c>
    </row>
    <row r="89" spans="1:12" x14ac:dyDescent="0.25">
      <c r="A89" s="575"/>
      <c r="B89" s="268" t="s">
        <v>507</v>
      </c>
      <c r="C89" s="218"/>
      <c r="D89" s="218"/>
      <c r="E89" s="218"/>
      <c r="F89" s="218"/>
      <c r="G89" s="218"/>
      <c r="H89" s="218"/>
      <c r="I89" s="220">
        <v>6.66</v>
      </c>
      <c r="J89" s="218"/>
      <c r="K89" s="218"/>
      <c r="L89" s="510"/>
    </row>
    <row r="90" spans="1:12" x14ac:dyDescent="0.25">
      <c r="A90" s="331" t="s">
        <v>365</v>
      </c>
      <c r="B90" s="298" t="str">
        <f>'PLANILHA ORÇAMENTÁRIA'!D23</f>
        <v>Retirada de revestimento antigo em reboco</v>
      </c>
      <c r="C90" s="145" t="s">
        <v>11</v>
      </c>
      <c r="D90" s="297"/>
      <c r="E90" s="145"/>
      <c r="F90" s="297"/>
      <c r="G90" s="36"/>
      <c r="H90" s="299">
        <f>SUM(H91:H97)</f>
        <v>217.83500000000001</v>
      </c>
      <c r="I90" s="145"/>
      <c r="J90" s="145"/>
      <c r="K90" s="297"/>
      <c r="L90" s="516">
        <f>H90</f>
        <v>217.83500000000001</v>
      </c>
    </row>
    <row r="91" spans="1:12" x14ac:dyDescent="0.25">
      <c r="A91" s="588"/>
      <c r="B91" s="400" t="s">
        <v>503</v>
      </c>
      <c r="C91" s="401"/>
      <c r="D91" s="401"/>
      <c r="E91" s="401"/>
      <c r="F91" s="401"/>
      <c r="G91" s="401"/>
      <c r="H91" s="227">
        <f>5.95*1.8+7.94*1.8+5.95*1.8+7.94*1.8-2.16</f>
        <v>47.844000000000008</v>
      </c>
      <c r="I91" s="162"/>
      <c r="J91" s="162"/>
      <c r="K91" s="162"/>
      <c r="L91" s="524"/>
    </row>
    <row r="92" spans="1:12" x14ac:dyDescent="0.25">
      <c r="A92" s="589"/>
      <c r="B92" s="282" t="s">
        <v>504</v>
      </c>
      <c r="C92" s="186"/>
      <c r="D92" s="186"/>
      <c r="E92" s="186"/>
      <c r="F92" s="186"/>
      <c r="G92" s="186"/>
      <c r="H92" s="227">
        <f>5.95*1.8+7.94*1.8+5.95*1.8+7.94*1.8-2.16</f>
        <v>47.844000000000008</v>
      </c>
      <c r="I92" s="296"/>
      <c r="J92" s="296"/>
      <c r="K92" s="296"/>
      <c r="L92" s="525"/>
    </row>
    <row r="93" spans="1:12" x14ac:dyDescent="0.25">
      <c r="A93" s="590"/>
      <c r="B93" s="400" t="s">
        <v>505</v>
      </c>
      <c r="C93" s="401"/>
      <c r="D93" s="401"/>
      <c r="E93" s="401"/>
      <c r="F93" s="401"/>
      <c r="G93" s="401"/>
      <c r="H93" s="227">
        <f>5.95*1.8+7.91*1.8+5.95*1.8+7.91*1.8-2.16</f>
        <v>47.736000000000004</v>
      </c>
      <c r="I93" s="208"/>
      <c r="J93" s="208"/>
      <c r="K93" s="208"/>
      <c r="L93" s="526"/>
    </row>
    <row r="94" spans="1:12" x14ac:dyDescent="0.25">
      <c r="A94" s="590"/>
      <c r="B94" s="400" t="s">
        <v>506</v>
      </c>
      <c r="C94" s="401"/>
      <c r="D94" s="401"/>
      <c r="E94" s="401"/>
      <c r="F94" s="401"/>
      <c r="G94" s="401"/>
      <c r="H94" s="227">
        <f>5.95*1.8+7.91*1.8+5.95*1.8+7.91*1.8-2.16</f>
        <v>47.736000000000004</v>
      </c>
      <c r="I94" s="208"/>
      <c r="J94" s="208"/>
      <c r="K94" s="208"/>
      <c r="L94" s="526"/>
    </row>
    <row r="95" spans="1:12" x14ac:dyDescent="0.25">
      <c r="A95" s="591"/>
      <c r="B95" s="400" t="s">
        <v>573</v>
      </c>
      <c r="C95" s="401"/>
      <c r="D95" s="401"/>
      <c r="E95" s="401"/>
      <c r="F95" s="401"/>
      <c r="G95" s="401"/>
      <c r="H95" s="227">
        <f>4.04*1.5+3.62*1.5+4.04*1.5+3.62*1.5-1.8</f>
        <v>21.18</v>
      </c>
      <c r="I95" s="307"/>
      <c r="J95" s="307"/>
      <c r="K95" s="307"/>
      <c r="L95" s="527"/>
    </row>
    <row r="96" spans="1:12" x14ac:dyDescent="0.25">
      <c r="A96" s="591"/>
      <c r="B96" s="414" t="s">
        <v>625</v>
      </c>
      <c r="C96" s="415"/>
      <c r="D96" s="415"/>
      <c r="E96" s="415"/>
      <c r="F96" s="415"/>
      <c r="G96" s="415"/>
      <c r="H96" s="227">
        <f>6.4*0.47+2.5*0.47+6.4*0.47+2.5*0.47-5.38</f>
        <v>2.9859999999999998</v>
      </c>
      <c r="I96" s="307"/>
      <c r="J96" s="307"/>
      <c r="K96" s="307"/>
      <c r="L96" s="527"/>
    </row>
    <row r="97" spans="1:13" x14ac:dyDescent="0.25">
      <c r="A97" s="591"/>
      <c r="B97" s="410" t="s">
        <v>626</v>
      </c>
      <c r="C97" s="411"/>
      <c r="D97" s="411"/>
      <c r="E97" s="411"/>
      <c r="F97" s="411"/>
      <c r="G97" s="411"/>
      <c r="H97" s="222">
        <f>6.4*0.47+3.73*0.47+6.4*0.47+5.17*0.47-7.69</f>
        <v>2.5089999999999995</v>
      </c>
      <c r="I97" s="210"/>
      <c r="J97" s="210"/>
      <c r="K97" s="210"/>
      <c r="L97" s="528"/>
    </row>
    <row r="98" spans="1:13" ht="31.5" x14ac:dyDescent="0.25">
      <c r="A98" s="331" t="s">
        <v>590</v>
      </c>
      <c r="B98" s="54" t="str">
        <f>'PLANILHA ORÇAMENTÁRIA'!D24</f>
        <v>Lixamento de parede com pintura antiga PVA para recebimento de nova camada de tinta</v>
      </c>
      <c r="C98" s="41" t="s">
        <v>78</v>
      </c>
      <c r="D98" s="43"/>
      <c r="E98" s="43"/>
      <c r="F98" s="43"/>
      <c r="G98" s="43"/>
      <c r="H98" s="43">
        <f>SUM(H99:H103)</f>
        <v>225.27999999999997</v>
      </c>
      <c r="I98" s="43"/>
      <c r="J98" s="43"/>
      <c r="K98" s="43"/>
      <c r="L98" s="519">
        <f>H98</f>
        <v>225.27999999999997</v>
      </c>
    </row>
    <row r="99" spans="1:13" x14ac:dyDescent="0.25">
      <c r="A99" s="588"/>
      <c r="B99" s="230" t="s">
        <v>463</v>
      </c>
      <c r="C99" s="228"/>
      <c r="D99" s="228"/>
      <c r="E99" s="228"/>
      <c r="F99" s="228"/>
      <c r="G99" s="228"/>
      <c r="H99" s="221">
        <v>83.1</v>
      </c>
      <c r="I99" s="228"/>
      <c r="J99" s="228"/>
      <c r="K99" s="228"/>
      <c r="L99" s="522"/>
    </row>
    <row r="100" spans="1:13" x14ac:dyDescent="0.25">
      <c r="A100" s="588"/>
      <c r="B100" s="198" t="s">
        <v>464</v>
      </c>
      <c r="C100" s="199"/>
      <c r="D100" s="199"/>
      <c r="E100" s="199"/>
      <c r="F100" s="199"/>
      <c r="G100" s="199"/>
      <c r="H100" s="234">
        <v>17.850000000000001</v>
      </c>
      <c r="I100" s="199"/>
      <c r="J100" s="199"/>
      <c r="K100" s="199"/>
      <c r="L100" s="529"/>
    </row>
    <row r="101" spans="1:13" x14ac:dyDescent="0.25">
      <c r="A101" s="592"/>
      <c r="B101" s="406" t="s">
        <v>465</v>
      </c>
      <c r="C101" s="407"/>
      <c r="D101" s="407"/>
      <c r="E101" s="407"/>
      <c r="F101" s="407"/>
      <c r="G101" s="407"/>
      <c r="H101" s="221">
        <v>97.94</v>
      </c>
      <c r="I101" s="228"/>
      <c r="J101" s="228"/>
      <c r="K101" s="228"/>
      <c r="L101" s="522"/>
    </row>
    <row r="102" spans="1:13" x14ac:dyDescent="0.25">
      <c r="A102" s="593"/>
      <c r="B102" s="230" t="s">
        <v>466</v>
      </c>
      <c r="C102" s="228"/>
      <c r="D102" s="228"/>
      <c r="E102" s="228"/>
      <c r="F102" s="228"/>
      <c r="G102" s="228"/>
      <c r="H102" s="221">
        <v>9.41</v>
      </c>
      <c r="I102" s="228"/>
      <c r="J102" s="228"/>
      <c r="K102" s="228"/>
      <c r="L102" s="522"/>
    </row>
    <row r="103" spans="1:13" x14ac:dyDescent="0.25">
      <c r="A103" s="594"/>
      <c r="B103" s="233" t="s">
        <v>467</v>
      </c>
      <c r="C103" s="229"/>
      <c r="D103" s="229"/>
      <c r="E103" s="229"/>
      <c r="F103" s="229"/>
      <c r="G103" s="229"/>
      <c r="H103" s="222">
        <v>16.98</v>
      </c>
      <c r="I103" s="229"/>
      <c r="J103" s="229"/>
      <c r="K103" s="229"/>
      <c r="L103" s="530"/>
    </row>
    <row r="104" spans="1:13" x14ac:dyDescent="0.25">
      <c r="A104" s="309" t="s">
        <v>12</v>
      </c>
      <c r="B104" s="275" t="str">
        <f>'PLANILHA ORÇAMENTÁRIA'!D25</f>
        <v>PAREDES E DIVISÓRIAS</v>
      </c>
      <c r="C104" s="168"/>
      <c r="D104" s="169"/>
      <c r="E104" s="169"/>
      <c r="F104" s="169"/>
      <c r="G104" s="169"/>
      <c r="H104" s="169"/>
      <c r="I104" s="169"/>
      <c r="J104" s="169"/>
      <c r="K104" s="169"/>
      <c r="L104" s="170"/>
    </row>
    <row r="105" spans="1:13" x14ac:dyDescent="0.25">
      <c r="A105" s="55" t="s">
        <v>254</v>
      </c>
      <c r="B105" s="56" t="str">
        <f>'PLANILHA ORÇAMENTÁRIA'!D26</f>
        <v>ALVENARIA DE VEDAÇÃO</v>
      </c>
      <c r="C105" s="57"/>
      <c r="D105" s="58"/>
      <c r="E105" s="58"/>
      <c r="F105" s="58"/>
      <c r="G105" s="58"/>
      <c r="H105" s="58"/>
      <c r="I105" s="58"/>
      <c r="J105" s="58"/>
      <c r="K105" s="58"/>
      <c r="L105" s="59"/>
    </row>
    <row r="106" spans="1:13" ht="63" x14ac:dyDescent="0.25">
      <c r="A106" s="576" t="s">
        <v>255</v>
      </c>
      <c r="B106" s="60" t="str">
        <f>'PLANILHA ORÇAMENTÁRIA'!D27</f>
        <v>Alvenaria de blocos cerâmicos 10 furos 10x20x20cm, assentados c/argamassa de cimento, cal hidratada CH1 e areia traço 1:0,5:8, juntas 12mm e esp. das paredes s/revestimento, 10cm (bloco comprado na fábrica, posto obra)</v>
      </c>
      <c r="C106" s="41" t="s">
        <v>11</v>
      </c>
      <c r="D106" s="43"/>
      <c r="E106" s="43"/>
      <c r="F106" s="43"/>
      <c r="G106" s="43"/>
      <c r="H106" s="43">
        <f>SUM(H107:H108)</f>
        <v>1.095</v>
      </c>
      <c r="I106" s="43"/>
      <c r="J106" s="43"/>
      <c r="K106" s="43"/>
      <c r="L106" s="519">
        <f>H106</f>
        <v>1.095</v>
      </c>
    </row>
    <row r="107" spans="1:13" x14ac:dyDescent="0.25">
      <c r="A107" s="574"/>
      <c r="B107" s="348" t="s">
        <v>508</v>
      </c>
      <c r="C107" s="349"/>
      <c r="D107" s="349"/>
      <c r="E107" s="349"/>
      <c r="F107" s="349"/>
      <c r="G107" s="349"/>
      <c r="H107" s="221">
        <f>1.2*0.3+1.2*0.5</f>
        <v>0.96</v>
      </c>
      <c r="I107" s="349"/>
      <c r="J107" s="349"/>
      <c r="K107" s="349"/>
      <c r="L107" s="509"/>
      <c r="M107" s="531"/>
    </row>
    <row r="108" spans="1:13" x14ac:dyDescent="0.25">
      <c r="A108" s="584"/>
      <c r="B108" s="247" t="s">
        <v>509</v>
      </c>
      <c r="C108" s="248"/>
      <c r="D108" s="248"/>
      <c r="E108" s="248"/>
      <c r="F108" s="248"/>
      <c r="G108" s="248"/>
      <c r="H108" s="227">
        <f>0.9*0.15</f>
        <v>0.13500000000000001</v>
      </c>
      <c r="I108" s="248"/>
      <c r="J108" s="248"/>
      <c r="K108" s="248"/>
      <c r="L108" s="552"/>
      <c r="M108" s="532"/>
    </row>
    <row r="109" spans="1:13" x14ac:dyDescent="0.25">
      <c r="A109" s="119" t="s">
        <v>257</v>
      </c>
      <c r="B109" s="64" t="str">
        <f>'PLANILHA ORÇAMENTÁRIA'!D28</f>
        <v xml:space="preserve">DIVISÓRIAS </v>
      </c>
      <c r="C109" s="61"/>
      <c r="D109" s="62"/>
      <c r="E109" s="62"/>
      <c r="F109" s="62"/>
      <c r="G109" s="62"/>
      <c r="H109" s="62"/>
      <c r="I109" s="62"/>
      <c r="J109" s="62"/>
      <c r="K109" s="62"/>
      <c r="L109" s="63"/>
      <c r="M109" s="532"/>
    </row>
    <row r="110" spans="1:13" ht="47.25" x14ac:dyDescent="0.25">
      <c r="A110" s="576" t="s">
        <v>256</v>
      </c>
      <c r="B110" s="54" t="str">
        <f>'PLANILHA ORÇAMENTÁRIA'!D29</f>
        <v>Divisória em granito, tipo andorinha, polido, esp. = 3 cm, assentado com argamassa , traço 1:4, arremate em cimento branco, exclusive ferragens.</v>
      </c>
      <c r="C110" s="41" t="s">
        <v>78</v>
      </c>
      <c r="D110" s="43"/>
      <c r="E110" s="43"/>
      <c r="F110" s="43"/>
      <c r="G110" s="43"/>
      <c r="H110" s="43">
        <f>SUM(H111:H112)</f>
        <v>25.990000000000002</v>
      </c>
      <c r="I110" s="43"/>
      <c r="J110" s="43"/>
      <c r="K110" s="43"/>
      <c r="L110" s="519">
        <f>H110</f>
        <v>25.990000000000002</v>
      </c>
      <c r="M110" s="532"/>
    </row>
    <row r="111" spans="1:13" x14ac:dyDescent="0.25">
      <c r="A111" s="595"/>
      <c r="B111" s="204" t="s">
        <v>470</v>
      </c>
      <c r="C111" s="205"/>
      <c r="D111" s="205"/>
      <c r="E111" s="205"/>
      <c r="F111" s="205"/>
      <c r="G111" s="205"/>
      <c r="H111" s="267">
        <v>12.34</v>
      </c>
      <c r="I111" s="205"/>
      <c r="J111" s="205"/>
      <c r="K111" s="205"/>
      <c r="L111" s="539"/>
      <c r="M111" s="532"/>
    </row>
    <row r="112" spans="1:13" x14ac:dyDescent="0.25">
      <c r="A112" s="596"/>
      <c r="B112" s="268" t="s">
        <v>469</v>
      </c>
      <c r="C112" s="269"/>
      <c r="D112" s="269"/>
      <c r="E112" s="269"/>
      <c r="F112" s="269"/>
      <c r="G112" s="269"/>
      <c r="H112" s="237">
        <v>13.65</v>
      </c>
      <c r="I112" s="269"/>
      <c r="J112" s="269"/>
      <c r="K112" s="269"/>
      <c r="L112" s="551"/>
      <c r="M112" s="532"/>
    </row>
    <row r="113" spans="1:13" ht="31.5" x14ac:dyDescent="0.25">
      <c r="A113" s="576" t="s">
        <v>369</v>
      </c>
      <c r="B113" s="65" t="str">
        <f>'PLANILHA ORÇAMENTÁRIA'!D30</f>
        <v>Fornecimento e instalação de porta para divisória, de 80 x 210 cm, incluindo dobradiças e fechadura interna</v>
      </c>
      <c r="C113" s="41" t="s">
        <v>56</v>
      </c>
      <c r="D113" s="43">
        <f>SUM(D114:D114)</f>
        <v>15</v>
      </c>
      <c r="E113" s="43"/>
      <c r="F113" s="43"/>
      <c r="G113" s="43"/>
      <c r="H113" s="43"/>
      <c r="I113" s="43"/>
      <c r="J113" s="43"/>
      <c r="K113" s="43"/>
      <c r="L113" s="519">
        <f>D113</f>
        <v>15</v>
      </c>
      <c r="M113" s="532"/>
    </row>
    <row r="114" spans="1:13" x14ac:dyDescent="0.25">
      <c r="A114" s="597"/>
      <c r="B114" s="235" t="s">
        <v>471</v>
      </c>
      <c r="C114" s="310"/>
      <c r="D114" s="237">
        <v>15</v>
      </c>
      <c r="E114" s="310"/>
      <c r="F114" s="310"/>
      <c r="G114" s="310"/>
      <c r="H114" s="310"/>
      <c r="I114" s="310"/>
      <c r="J114" s="310"/>
      <c r="K114" s="310"/>
      <c r="L114" s="598"/>
      <c r="M114" s="532"/>
    </row>
    <row r="115" spans="1:13" ht="47.25" x14ac:dyDescent="0.25">
      <c r="A115" s="576" t="s">
        <v>370</v>
      </c>
      <c r="B115" s="65" t="str">
        <f>'PLANILHA ORÇAMENTÁRIA'!D31</f>
        <v>Fornecimento e instalação de divisórias novas com acabamento de chapa de fibra de madeira, sistema de montagem simplificado, espessura de 35mm e miolo em colméia no padrão painel/painel</v>
      </c>
      <c r="C115" s="41" t="s">
        <v>11</v>
      </c>
      <c r="D115" s="43"/>
      <c r="E115" s="43"/>
      <c r="F115" s="43"/>
      <c r="G115" s="43"/>
      <c r="H115" s="43">
        <f>SUM(H116:H122)</f>
        <v>282.05919999999998</v>
      </c>
      <c r="I115" s="43"/>
      <c r="J115" s="43"/>
      <c r="K115" s="43"/>
      <c r="L115" s="519">
        <f>H115</f>
        <v>282.05919999999998</v>
      </c>
      <c r="M115" s="533"/>
    </row>
    <row r="116" spans="1:13" x14ac:dyDescent="0.25">
      <c r="A116" s="580"/>
      <c r="B116" s="198" t="s">
        <v>472</v>
      </c>
      <c r="C116" s="199"/>
      <c r="D116" s="199"/>
      <c r="E116" s="199"/>
      <c r="F116" s="199"/>
      <c r="G116" s="199"/>
      <c r="H116" s="234">
        <f>9.95*4.01-3.36</f>
        <v>36.539499999999997</v>
      </c>
      <c r="I116" s="199"/>
      <c r="J116" s="199"/>
      <c r="K116" s="199"/>
      <c r="L116" s="529"/>
      <c r="M116" s="531"/>
    </row>
    <row r="117" spans="1:13" x14ac:dyDescent="0.25">
      <c r="A117" s="580"/>
      <c r="B117" s="198" t="s">
        <v>473</v>
      </c>
      <c r="C117" s="199"/>
      <c r="D117" s="199"/>
      <c r="E117" s="199"/>
      <c r="F117" s="199"/>
      <c r="G117" s="199"/>
      <c r="H117" s="234">
        <f>15.14*4.01-5.04</f>
        <v>55.671399999999998</v>
      </c>
      <c r="I117" s="199"/>
      <c r="J117" s="199"/>
      <c r="K117" s="199"/>
      <c r="L117" s="529"/>
      <c r="M117" s="532"/>
    </row>
    <row r="118" spans="1:13" x14ac:dyDescent="0.25">
      <c r="A118" s="580"/>
      <c r="B118" s="198" t="s">
        <v>474</v>
      </c>
      <c r="C118" s="199"/>
      <c r="D118" s="199"/>
      <c r="E118" s="199"/>
      <c r="F118" s="199"/>
      <c r="G118" s="199"/>
      <c r="H118" s="234">
        <f>2.99*4.01</f>
        <v>11.9899</v>
      </c>
      <c r="I118" s="199"/>
      <c r="J118" s="199"/>
      <c r="K118" s="199"/>
      <c r="L118" s="529"/>
      <c r="M118" s="532"/>
    </row>
    <row r="119" spans="1:13" x14ac:dyDescent="0.25">
      <c r="A119" s="580"/>
      <c r="B119" s="198" t="s">
        <v>475</v>
      </c>
      <c r="C119" s="199"/>
      <c r="D119" s="199"/>
      <c r="E119" s="199"/>
      <c r="F119" s="199"/>
      <c r="G119" s="199"/>
      <c r="H119" s="234">
        <f>21.36*4.01-6.72</f>
        <v>78.933599999999998</v>
      </c>
      <c r="I119" s="199"/>
      <c r="J119" s="199"/>
      <c r="K119" s="199"/>
      <c r="L119" s="529"/>
      <c r="M119" s="532"/>
    </row>
    <row r="120" spans="1:13" x14ac:dyDescent="0.25">
      <c r="A120" s="580"/>
      <c r="B120" s="198" t="s">
        <v>476</v>
      </c>
      <c r="C120" s="199"/>
      <c r="D120" s="199"/>
      <c r="E120" s="199"/>
      <c r="F120" s="199"/>
      <c r="G120" s="199"/>
      <c r="H120" s="234">
        <f>9.97*4.01-3.36</f>
        <v>36.619700000000002</v>
      </c>
      <c r="I120" s="199"/>
      <c r="J120" s="199"/>
      <c r="K120" s="199"/>
      <c r="L120" s="529"/>
      <c r="M120" s="532"/>
    </row>
    <row r="121" spans="1:13" x14ac:dyDescent="0.25">
      <c r="A121" s="580"/>
      <c r="B121" s="198" t="s">
        <v>477</v>
      </c>
      <c r="C121" s="199"/>
      <c r="D121" s="199"/>
      <c r="E121" s="199"/>
      <c r="F121" s="199"/>
      <c r="G121" s="199"/>
      <c r="H121" s="234">
        <f>10.62*3.23-3.36</f>
        <v>30.942599999999999</v>
      </c>
      <c r="I121" s="199"/>
      <c r="J121" s="199"/>
      <c r="K121" s="199"/>
      <c r="L121" s="529"/>
      <c r="M121" s="532"/>
    </row>
    <row r="122" spans="1:13" x14ac:dyDescent="0.25">
      <c r="A122" s="585"/>
      <c r="B122" s="303" t="s">
        <v>478</v>
      </c>
      <c r="C122" s="304"/>
      <c r="D122" s="304"/>
      <c r="E122" s="304"/>
      <c r="F122" s="304"/>
      <c r="G122" s="304"/>
      <c r="H122" s="255">
        <f>10.75*3.23-3.36</f>
        <v>31.362499999999997</v>
      </c>
      <c r="I122" s="304"/>
      <c r="J122" s="304"/>
      <c r="K122" s="304"/>
      <c r="L122" s="599"/>
      <c r="M122" s="532"/>
    </row>
    <row r="123" spans="1:13" x14ac:dyDescent="0.25">
      <c r="A123" s="119" t="s">
        <v>258</v>
      </c>
      <c r="B123" s="419" t="str">
        <f>'PLANILHA ORÇAMENTÁRIA'!D32</f>
        <v xml:space="preserve">ABERTURA E FECHAMENTO DE RASGOS </v>
      </c>
      <c r="C123" s="420"/>
      <c r="D123" s="420"/>
      <c r="E123" s="420"/>
      <c r="F123" s="420"/>
      <c r="G123" s="420"/>
      <c r="H123" s="420"/>
      <c r="I123" s="420"/>
      <c r="J123" s="420"/>
      <c r="K123" s="420"/>
      <c r="L123" s="600"/>
      <c r="M123" s="532"/>
    </row>
    <row r="124" spans="1:13" ht="31.5" x14ac:dyDescent="0.25">
      <c r="A124" s="576" t="s">
        <v>259</v>
      </c>
      <c r="B124" s="60" t="str">
        <f>'PLANILHA ORÇAMENTÁRIA'!D33</f>
        <v>Abertura e fechamento de rasgos em alvenaria, para passagem de tubulações, diâm. 1/2" a 1"</v>
      </c>
      <c r="C124" s="41" t="s">
        <v>52</v>
      </c>
      <c r="D124" s="43"/>
      <c r="E124" s="43">
        <v>6.31</v>
      </c>
      <c r="F124" s="43"/>
      <c r="G124" s="43"/>
      <c r="H124" s="43"/>
      <c r="I124" s="43"/>
      <c r="J124" s="43"/>
      <c r="K124" s="43"/>
      <c r="L124" s="519">
        <f>E124</f>
        <v>6.31</v>
      </c>
      <c r="M124" s="533"/>
    </row>
    <row r="125" spans="1:13" ht="31.5" x14ac:dyDescent="0.25">
      <c r="A125" s="305" t="s">
        <v>260</v>
      </c>
      <c r="B125" s="148" t="str">
        <f>'PLANILHA ORÇAMENTÁRIA'!D34</f>
        <v xml:space="preserve"> Abertura e fechamento de rasgos em alvenaria, para passagem de eletrodutos diâm. 1/2" a 1"</v>
      </c>
      <c r="C125" s="149" t="s">
        <v>52</v>
      </c>
      <c r="D125" s="150"/>
      <c r="E125" s="150"/>
      <c r="F125" s="150"/>
      <c r="G125" s="150"/>
      <c r="H125" s="150"/>
      <c r="I125" s="150"/>
      <c r="J125" s="150"/>
      <c r="K125" s="150"/>
      <c r="L125" s="151"/>
      <c r="M125" s="505"/>
    </row>
    <row r="126" spans="1:13" x14ac:dyDescent="0.25">
      <c r="A126" s="55" t="s">
        <v>261</v>
      </c>
      <c r="B126" s="390" t="str">
        <f>'PLANILHA ORÇAMENTÁRIA'!D35</f>
        <v xml:space="preserve">VERGAS E CONTRAVERGAS </v>
      </c>
      <c r="C126" s="391"/>
      <c r="D126" s="391"/>
      <c r="E126" s="391"/>
      <c r="F126" s="391"/>
      <c r="G126" s="391"/>
      <c r="H126" s="391"/>
      <c r="I126" s="391"/>
      <c r="J126" s="391"/>
      <c r="K126" s="391"/>
      <c r="L126" s="421"/>
    </row>
    <row r="127" spans="1:13" ht="31.5" x14ac:dyDescent="0.25">
      <c r="A127" s="601" t="s">
        <v>262</v>
      </c>
      <c r="B127" s="152" t="str">
        <f>'PLANILHA ORÇAMENTÁRIA'!D36</f>
        <v>Verga/contraverga reta de concreto armado 10 x 5 cm, Fck = 15 MPa, inclusive forma, armação e desforma</v>
      </c>
      <c r="C127" s="42" t="s">
        <v>52</v>
      </c>
      <c r="D127" s="153"/>
      <c r="E127" s="153">
        <f>SUM(E128:E130)</f>
        <v>11.4</v>
      </c>
      <c r="F127" s="153"/>
      <c r="G127" s="153"/>
      <c r="H127" s="153"/>
      <c r="I127" s="153"/>
      <c r="J127" s="153"/>
      <c r="K127" s="153"/>
      <c r="L127" s="559">
        <f>E127</f>
        <v>11.4</v>
      </c>
    </row>
    <row r="128" spans="1:13" x14ac:dyDescent="0.25">
      <c r="A128" s="602"/>
      <c r="B128" s="238" t="s">
        <v>320</v>
      </c>
      <c r="C128" s="239"/>
      <c r="D128" s="239"/>
      <c r="E128" s="242">
        <v>4</v>
      </c>
      <c r="F128" s="239"/>
      <c r="G128" s="239"/>
      <c r="H128" s="239"/>
      <c r="I128" s="239"/>
      <c r="J128" s="239"/>
      <c r="K128" s="239"/>
      <c r="L128" s="560"/>
    </row>
    <row r="129" spans="1:12" x14ac:dyDescent="0.25">
      <c r="A129" s="602"/>
      <c r="B129" s="238" t="s">
        <v>321</v>
      </c>
      <c r="C129" s="239"/>
      <c r="D129" s="239"/>
      <c r="E129" s="242">
        <v>4</v>
      </c>
      <c r="F129" s="239"/>
      <c r="G129" s="239"/>
      <c r="H129" s="239"/>
      <c r="I129" s="239"/>
      <c r="J129" s="239"/>
      <c r="K129" s="239"/>
      <c r="L129" s="560"/>
    </row>
    <row r="130" spans="1:12" x14ac:dyDescent="0.25">
      <c r="A130" s="603"/>
      <c r="B130" s="240" t="s">
        <v>424</v>
      </c>
      <c r="C130" s="241"/>
      <c r="D130" s="241"/>
      <c r="E130" s="243">
        <v>3.4</v>
      </c>
      <c r="F130" s="241"/>
      <c r="G130" s="241"/>
      <c r="H130" s="241"/>
      <c r="I130" s="241"/>
      <c r="J130" s="241"/>
      <c r="K130" s="241"/>
      <c r="L130" s="561"/>
    </row>
    <row r="131" spans="1:12" x14ac:dyDescent="0.25">
      <c r="A131" s="274" t="s">
        <v>13</v>
      </c>
      <c r="B131" s="392" t="str">
        <f>'PLANILHA ORÇAMENTÁRIA'!D37</f>
        <v xml:space="preserve">REPAROS </v>
      </c>
      <c r="C131" s="392"/>
      <c r="D131" s="392"/>
      <c r="E131" s="392"/>
      <c r="F131" s="392"/>
      <c r="G131" s="392"/>
      <c r="H131" s="392"/>
      <c r="I131" s="392"/>
      <c r="J131" s="392"/>
      <c r="K131" s="392"/>
      <c r="L131" s="393"/>
    </row>
    <row r="132" spans="1:12" ht="47.25" x14ac:dyDescent="0.25">
      <c r="A132" s="576" t="s">
        <v>263</v>
      </c>
      <c r="B132" s="110" t="str">
        <f>'PLANILHA ORÇAMENTÁRIA'!D38</f>
        <v>Execução de junta de dilatação 2 x 2 cm considerando 1cm de aplicação de isopor e 1cm de aplicação de mastique elástico do tipo sikaflex 1a ou equivalente</v>
      </c>
      <c r="C132" s="41" t="s">
        <v>52</v>
      </c>
      <c r="D132" s="43"/>
      <c r="E132" s="43">
        <f>SUM(E133:E135)</f>
        <v>22.21</v>
      </c>
      <c r="F132" s="43"/>
      <c r="G132" s="43"/>
      <c r="H132" s="43"/>
      <c r="I132" s="43"/>
      <c r="J132" s="43"/>
      <c r="K132" s="43"/>
      <c r="L132" s="333">
        <f>E132</f>
        <v>22.21</v>
      </c>
    </row>
    <row r="133" spans="1:12" x14ac:dyDescent="0.25">
      <c r="A133" s="590"/>
      <c r="B133" s="198" t="s">
        <v>479</v>
      </c>
      <c r="C133" s="199"/>
      <c r="D133" s="199"/>
      <c r="E133" s="234">
        <v>7.75</v>
      </c>
      <c r="F133" s="199"/>
      <c r="G133" s="199"/>
      <c r="H133" s="199"/>
      <c r="I133" s="199"/>
      <c r="J133" s="199"/>
      <c r="K133" s="199"/>
      <c r="L133" s="529"/>
    </row>
    <row r="134" spans="1:12" x14ac:dyDescent="0.25">
      <c r="A134" s="591"/>
      <c r="B134" s="198" t="s">
        <v>480</v>
      </c>
      <c r="C134" s="199"/>
      <c r="D134" s="199"/>
      <c r="E134" s="234">
        <v>7.62</v>
      </c>
      <c r="F134" s="199"/>
      <c r="G134" s="199"/>
      <c r="H134" s="199"/>
      <c r="I134" s="199"/>
      <c r="J134" s="199"/>
      <c r="K134" s="199"/>
      <c r="L134" s="529"/>
    </row>
    <row r="135" spans="1:12" ht="15.75" customHeight="1" x14ac:dyDescent="0.25">
      <c r="A135" s="604"/>
      <c r="B135" s="236" t="s">
        <v>481</v>
      </c>
      <c r="C135" s="245"/>
      <c r="D135" s="245"/>
      <c r="E135" s="246">
        <v>6.84</v>
      </c>
      <c r="F135" s="245"/>
      <c r="G135" s="245"/>
      <c r="H135" s="245"/>
      <c r="I135" s="245"/>
      <c r="J135" s="245"/>
      <c r="K135" s="245"/>
      <c r="L135" s="370"/>
    </row>
    <row r="136" spans="1:12" x14ac:dyDescent="0.25">
      <c r="A136" s="576" t="s">
        <v>264</v>
      </c>
      <c r="B136" s="110" t="str">
        <f>'PLANILHA ORÇAMENTÁRIA'!D39</f>
        <v xml:space="preserve">Reparos em fechaduras </v>
      </c>
      <c r="C136" s="41" t="s">
        <v>56</v>
      </c>
      <c r="D136" s="43">
        <f>SUM(D137:D146)</f>
        <v>10</v>
      </c>
      <c r="E136" s="43"/>
      <c r="F136" s="43"/>
      <c r="G136" s="43"/>
      <c r="H136" s="43"/>
      <c r="I136" s="43"/>
      <c r="J136" s="43"/>
      <c r="K136" s="43"/>
      <c r="L136" s="519">
        <f>D136</f>
        <v>10</v>
      </c>
    </row>
    <row r="137" spans="1:12" x14ac:dyDescent="0.25">
      <c r="A137" s="588"/>
      <c r="B137" s="198" t="s">
        <v>200</v>
      </c>
      <c r="C137" s="199"/>
      <c r="D137" s="234">
        <v>1</v>
      </c>
      <c r="E137" s="199"/>
      <c r="F137" s="199"/>
      <c r="G137" s="199"/>
      <c r="H137" s="199"/>
      <c r="I137" s="199"/>
      <c r="J137" s="199"/>
      <c r="K137" s="199"/>
      <c r="L137" s="529"/>
    </row>
    <row r="138" spans="1:12" x14ac:dyDescent="0.25">
      <c r="A138" s="588"/>
      <c r="B138" s="198" t="s">
        <v>201</v>
      </c>
      <c r="C138" s="199"/>
      <c r="D138" s="234">
        <v>1</v>
      </c>
      <c r="E138" s="199"/>
      <c r="F138" s="199"/>
      <c r="G138" s="199"/>
      <c r="H138" s="199"/>
      <c r="I138" s="199"/>
      <c r="J138" s="199"/>
      <c r="K138" s="199"/>
      <c r="L138" s="529"/>
    </row>
    <row r="139" spans="1:12" x14ac:dyDescent="0.25">
      <c r="A139" s="588"/>
      <c r="B139" s="198" t="s">
        <v>202</v>
      </c>
      <c r="C139" s="199"/>
      <c r="D139" s="234">
        <v>1</v>
      </c>
      <c r="E139" s="199"/>
      <c r="F139" s="199"/>
      <c r="G139" s="199"/>
      <c r="H139" s="199"/>
      <c r="I139" s="199"/>
      <c r="J139" s="199"/>
      <c r="K139" s="199"/>
      <c r="L139" s="529"/>
    </row>
    <row r="140" spans="1:12" x14ac:dyDescent="0.25">
      <c r="A140" s="588"/>
      <c r="B140" s="198" t="s">
        <v>203</v>
      </c>
      <c r="C140" s="199"/>
      <c r="D140" s="234">
        <v>1</v>
      </c>
      <c r="E140" s="199"/>
      <c r="F140" s="199"/>
      <c r="G140" s="199"/>
      <c r="H140" s="199"/>
      <c r="I140" s="199"/>
      <c r="J140" s="199"/>
      <c r="K140" s="199"/>
      <c r="L140" s="529"/>
    </row>
    <row r="141" spans="1:12" x14ac:dyDescent="0.25">
      <c r="A141" s="588"/>
      <c r="B141" s="198" t="s">
        <v>315</v>
      </c>
      <c r="C141" s="199"/>
      <c r="D141" s="234">
        <v>1</v>
      </c>
      <c r="E141" s="199"/>
      <c r="F141" s="199"/>
      <c r="G141" s="199"/>
      <c r="H141" s="199"/>
      <c r="I141" s="199"/>
      <c r="J141" s="199"/>
      <c r="K141" s="199"/>
      <c r="L141" s="529"/>
    </row>
    <row r="142" spans="1:12" x14ac:dyDescent="0.25">
      <c r="A142" s="588"/>
      <c r="B142" s="198" t="s">
        <v>196</v>
      </c>
      <c r="C142" s="199"/>
      <c r="D142" s="234">
        <v>1</v>
      </c>
      <c r="E142" s="199"/>
      <c r="F142" s="199"/>
      <c r="G142" s="199"/>
      <c r="H142" s="199"/>
      <c r="I142" s="199"/>
      <c r="J142" s="199"/>
      <c r="K142" s="199"/>
      <c r="L142" s="529"/>
    </row>
    <row r="143" spans="1:12" x14ac:dyDescent="0.25">
      <c r="A143" s="588"/>
      <c r="B143" s="198" t="s">
        <v>319</v>
      </c>
      <c r="C143" s="199"/>
      <c r="D143" s="234">
        <v>1</v>
      </c>
      <c r="E143" s="199"/>
      <c r="F143" s="199"/>
      <c r="G143" s="199"/>
      <c r="H143" s="199"/>
      <c r="I143" s="199"/>
      <c r="J143" s="199"/>
      <c r="K143" s="199"/>
      <c r="L143" s="529"/>
    </row>
    <row r="144" spans="1:12" x14ac:dyDescent="0.25">
      <c r="A144" s="588"/>
      <c r="B144" s="198" t="s">
        <v>316</v>
      </c>
      <c r="C144" s="199"/>
      <c r="D144" s="234">
        <v>1</v>
      </c>
      <c r="E144" s="199"/>
      <c r="F144" s="199"/>
      <c r="G144" s="199"/>
      <c r="H144" s="199"/>
      <c r="I144" s="199"/>
      <c r="J144" s="199"/>
      <c r="K144" s="199"/>
      <c r="L144" s="529"/>
    </row>
    <row r="145" spans="1:12" x14ac:dyDescent="0.25">
      <c r="A145" s="588"/>
      <c r="B145" s="198" t="s">
        <v>317</v>
      </c>
      <c r="C145" s="199"/>
      <c r="D145" s="234">
        <v>1</v>
      </c>
      <c r="E145" s="199"/>
      <c r="F145" s="199"/>
      <c r="G145" s="199"/>
      <c r="H145" s="199"/>
      <c r="I145" s="199"/>
      <c r="J145" s="199"/>
      <c r="K145" s="199"/>
      <c r="L145" s="529"/>
    </row>
    <row r="146" spans="1:12" x14ac:dyDescent="0.25">
      <c r="A146" s="604"/>
      <c r="B146" s="244" t="s">
        <v>318</v>
      </c>
      <c r="C146" s="245"/>
      <c r="D146" s="246">
        <v>1</v>
      </c>
      <c r="E146" s="245"/>
      <c r="F146" s="245"/>
      <c r="G146" s="245"/>
      <c r="H146" s="245"/>
      <c r="I146" s="245"/>
      <c r="J146" s="245"/>
      <c r="K146" s="245"/>
      <c r="L146" s="370"/>
    </row>
    <row r="147" spans="1:12" x14ac:dyDescent="0.25">
      <c r="A147" s="576" t="s">
        <v>265</v>
      </c>
      <c r="B147" s="110" t="str">
        <f>'PLANILHA ORÇAMENTÁRIA'!D40</f>
        <v xml:space="preserve">Reparos em trincas e fissuras </v>
      </c>
      <c r="C147" s="41" t="s">
        <v>52</v>
      </c>
      <c r="D147" s="43"/>
      <c r="E147" s="43">
        <v>25</v>
      </c>
      <c r="F147" s="43"/>
      <c r="G147" s="43"/>
      <c r="H147" s="43"/>
      <c r="I147" s="43"/>
      <c r="J147" s="43"/>
      <c r="K147" s="43"/>
      <c r="L147" s="519">
        <f>E147</f>
        <v>25</v>
      </c>
    </row>
    <row r="148" spans="1:12" x14ac:dyDescent="0.25">
      <c r="A148" s="274" t="s">
        <v>266</v>
      </c>
      <c r="B148" s="275" t="str">
        <f>'PLANILHA ORÇAMENTÁRIA'!D41</f>
        <v>ESQUADRIA METÁLICA</v>
      </c>
      <c r="C148" s="168"/>
      <c r="D148" s="169"/>
      <c r="E148" s="169"/>
      <c r="F148" s="169"/>
      <c r="G148" s="169"/>
      <c r="H148" s="169"/>
      <c r="I148" s="169"/>
      <c r="J148" s="169"/>
      <c r="K148" s="169"/>
      <c r="L148" s="170"/>
    </row>
    <row r="149" spans="1:12" ht="47.25" x14ac:dyDescent="0.25">
      <c r="A149" s="576" t="s">
        <v>267</v>
      </c>
      <c r="B149" s="54" t="s">
        <v>148</v>
      </c>
      <c r="C149" s="41" t="s">
        <v>11</v>
      </c>
      <c r="D149" s="51"/>
      <c r="E149" s="51"/>
      <c r="F149" s="51"/>
      <c r="G149" s="51"/>
      <c r="H149" s="43">
        <f>SUM(H150:H151)</f>
        <v>6.12</v>
      </c>
      <c r="I149" s="51"/>
      <c r="J149" s="51"/>
      <c r="K149" s="51"/>
      <c r="L149" s="519">
        <f>H149</f>
        <v>6.12</v>
      </c>
    </row>
    <row r="150" spans="1:12" x14ac:dyDescent="0.25">
      <c r="A150" s="574"/>
      <c r="B150" s="348" t="s">
        <v>490</v>
      </c>
      <c r="C150" s="349"/>
      <c r="D150" s="349"/>
      <c r="E150" s="349"/>
      <c r="F150" s="349"/>
      <c r="G150" s="349"/>
      <c r="H150" s="221">
        <v>4.32</v>
      </c>
      <c r="I150" s="349"/>
      <c r="J150" s="349"/>
      <c r="K150" s="349"/>
      <c r="L150" s="509"/>
    </row>
    <row r="151" spans="1:12" x14ac:dyDescent="0.25">
      <c r="A151" s="575"/>
      <c r="B151" s="217" t="s">
        <v>491</v>
      </c>
      <c r="C151" s="218"/>
      <c r="D151" s="218"/>
      <c r="E151" s="218"/>
      <c r="F151" s="218"/>
      <c r="G151" s="218"/>
      <c r="H151" s="222">
        <v>1.8</v>
      </c>
      <c r="I151" s="218"/>
      <c r="J151" s="218"/>
      <c r="K151" s="218"/>
      <c r="L151" s="510"/>
    </row>
    <row r="152" spans="1:12" ht="31.5" x14ac:dyDescent="0.25">
      <c r="A152" s="576" t="s">
        <v>268</v>
      </c>
      <c r="B152" s="60" t="s">
        <v>89</v>
      </c>
      <c r="C152" s="41" t="s">
        <v>11</v>
      </c>
      <c r="D152" s="51"/>
      <c r="E152" s="51"/>
      <c r="F152" s="51"/>
      <c r="G152" s="51"/>
      <c r="H152" s="43">
        <f>SUM(H153:H154)</f>
        <v>7.36</v>
      </c>
      <c r="I152" s="51"/>
      <c r="J152" s="51"/>
      <c r="K152" s="51"/>
      <c r="L152" s="519">
        <v>7.84</v>
      </c>
    </row>
    <row r="153" spans="1:12" x14ac:dyDescent="0.25">
      <c r="A153" s="579"/>
      <c r="B153" s="204" t="s">
        <v>492</v>
      </c>
      <c r="C153" s="205"/>
      <c r="D153" s="205"/>
      <c r="E153" s="205"/>
      <c r="F153" s="205"/>
      <c r="G153" s="205"/>
      <c r="H153" s="267">
        <v>4.4800000000000004</v>
      </c>
      <c r="I153" s="205"/>
      <c r="J153" s="205"/>
      <c r="K153" s="205"/>
      <c r="L153" s="539"/>
    </row>
    <row r="154" spans="1:12" x14ac:dyDescent="0.25">
      <c r="A154" s="585"/>
      <c r="B154" s="268" t="s">
        <v>493</v>
      </c>
      <c r="C154" s="269"/>
      <c r="D154" s="269"/>
      <c r="E154" s="269"/>
      <c r="F154" s="269"/>
      <c r="G154" s="269"/>
      <c r="H154" s="237">
        <v>2.88</v>
      </c>
      <c r="I154" s="269"/>
      <c r="J154" s="269"/>
      <c r="K154" s="269"/>
      <c r="L154" s="551"/>
    </row>
    <row r="155" spans="1:12" x14ac:dyDescent="0.25">
      <c r="A155" s="576" t="s">
        <v>635</v>
      </c>
      <c r="B155" s="60" t="s">
        <v>159</v>
      </c>
      <c r="C155" s="50" t="s">
        <v>11</v>
      </c>
      <c r="D155" s="51"/>
      <c r="E155" s="51"/>
      <c r="F155" s="51"/>
      <c r="G155" s="51"/>
      <c r="H155" s="51">
        <f>SUM(H156:H158)</f>
        <v>6.95</v>
      </c>
      <c r="I155" s="51"/>
      <c r="J155" s="51"/>
      <c r="K155" s="51"/>
      <c r="L155" s="508">
        <f>H155</f>
        <v>6.95</v>
      </c>
    </row>
    <row r="156" spans="1:12" x14ac:dyDescent="0.25">
      <c r="A156" s="574"/>
      <c r="B156" s="348" t="s">
        <v>490</v>
      </c>
      <c r="C156" s="349"/>
      <c r="D156" s="349"/>
      <c r="E156" s="349"/>
      <c r="F156" s="349"/>
      <c r="G156" s="349"/>
      <c r="H156" s="221">
        <v>4.32</v>
      </c>
      <c r="I156" s="349"/>
      <c r="J156" s="349"/>
      <c r="K156" s="349"/>
      <c r="L156" s="509"/>
    </row>
    <row r="157" spans="1:12" x14ac:dyDescent="0.25">
      <c r="A157" s="574"/>
      <c r="B157" s="348" t="s">
        <v>491</v>
      </c>
      <c r="C157" s="349"/>
      <c r="D157" s="349"/>
      <c r="E157" s="349"/>
      <c r="F157" s="349"/>
      <c r="G157" s="349"/>
      <c r="H157" s="221">
        <v>1.8</v>
      </c>
      <c r="I157" s="349"/>
      <c r="J157" s="349"/>
      <c r="K157" s="349"/>
      <c r="L157" s="509"/>
    </row>
    <row r="158" spans="1:12" x14ac:dyDescent="0.25">
      <c r="A158" s="575"/>
      <c r="B158" s="217" t="s">
        <v>494</v>
      </c>
      <c r="C158" s="218"/>
      <c r="D158" s="218"/>
      <c r="E158" s="218"/>
      <c r="F158" s="218"/>
      <c r="G158" s="218"/>
      <c r="H158" s="222">
        <v>0.83</v>
      </c>
      <c r="I158" s="218"/>
      <c r="J158" s="218"/>
      <c r="K158" s="218"/>
      <c r="L158" s="510"/>
    </row>
    <row r="159" spans="1:12" x14ac:dyDescent="0.25">
      <c r="A159" s="274" t="s">
        <v>269</v>
      </c>
      <c r="B159" s="275" t="s">
        <v>90</v>
      </c>
      <c r="C159" s="168"/>
      <c r="D159" s="169"/>
      <c r="E159" s="169"/>
      <c r="F159" s="169"/>
      <c r="G159" s="169"/>
      <c r="H159" s="169"/>
      <c r="I159" s="169"/>
      <c r="J159" s="169"/>
      <c r="K159" s="169"/>
      <c r="L159" s="170"/>
    </row>
    <row r="160" spans="1:12" ht="63" x14ac:dyDescent="0.25">
      <c r="A160" s="576" t="s">
        <v>270</v>
      </c>
      <c r="B160" s="60" t="str">
        <f>'PLANILHA ORÇAMENTÁRIA'!D46</f>
        <v xml:space="preserve">Revisão da cobertura considerando limpeza da estrutura com lixamento e escovamento com escova de aço, até a completa remoção de partículas soltas, materiais indesejáveis e corrosão, substituição da fixação das telhas e vedação </v>
      </c>
      <c r="C160" s="41" t="s">
        <v>11</v>
      </c>
      <c r="D160" s="43"/>
      <c r="E160" s="43"/>
      <c r="F160" s="43"/>
      <c r="G160" s="43"/>
      <c r="H160" s="43">
        <f>SUM(H161:H162)</f>
        <v>725.04</v>
      </c>
      <c r="I160" s="43"/>
      <c r="J160" s="43"/>
      <c r="K160" s="43"/>
      <c r="L160" s="519">
        <f>H160</f>
        <v>725.04</v>
      </c>
    </row>
    <row r="161" spans="1:12" x14ac:dyDescent="0.25">
      <c r="A161" s="579"/>
      <c r="B161" s="204" t="s">
        <v>460</v>
      </c>
      <c r="C161" s="349"/>
      <c r="D161" s="349"/>
      <c r="E161" s="349"/>
      <c r="F161" s="349"/>
      <c r="G161" s="349"/>
      <c r="H161" s="221">
        <v>408.86</v>
      </c>
      <c r="I161" s="349"/>
      <c r="J161" s="349"/>
      <c r="K161" s="349"/>
      <c r="L161" s="509"/>
    </row>
    <row r="162" spans="1:12" x14ac:dyDescent="0.25">
      <c r="A162" s="585"/>
      <c r="B162" s="268" t="s">
        <v>495</v>
      </c>
      <c r="C162" s="218"/>
      <c r="D162" s="218"/>
      <c r="E162" s="218"/>
      <c r="F162" s="218"/>
      <c r="G162" s="218"/>
      <c r="H162" s="222">
        <v>316.18</v>
      </c>
      <c r="I162" s="218"/>
      <c r="J162" s="218"/>
      <c r="K162" s="218"/>
      <c r="L162" s="510"/>
    </row>
    <row r="163" spans="1:12" ht="27.75" customHeight="1" x14ac:dyDescent="0.25">
      <c r="A163" s="576" t="s">
        <v>271</v>
      </c>
      <c r="B163" s="65" t="str">
        <f>'PLANILHA ORÇAMENTÁRIA'!D47</f>
        <v>Calha em chapa de aço galvanizado, número 24, desenvolvimento de 33 cm</v>
      </c>
      <c r="C163" s="41" t="s">
        <v>52</v>
      </c>
      <c r="D163" s="43"/>
      <c r="E163" s="43">
        <f>E164</f>
        <v>41.61</v>
      </c>
      <c r="F163" s="43"/>
      <c r="G163" s="43"/>
      <c r="H163" s="43"/>
      <c r="I163" s="43"/>
      <c r="J163" s="43"/>
      <c r="K163" s="43"/>
      <c r="L163" s="519">
        <f>E163</f>
        <v>41.61</v>
      </c>
    </row>
    <row r="164" spans="1:12" x14ac:dyDescent="0.25">
      <c r="A164" s="575"/>
      <c r="B164" s="217" t="s">
        <v>588</v>
      </c>
      <c r="C164" s="218"/>
      <c r="D164" s="218"/>
      <c r="E164" s="220">
        <v>41.61</v>
      </c>
      <c r="F164" s="218"/>
      <c r="G164" s="218"/>
      <c r="H164" s="218"/>
      <c r="I164" s="218"/>
      <c r="J164" s="218"/>
      <c r="K164" s="218"/>
      <c r="L164" s="510"/>
    </row>
    <row r="165" spans="1:12" x14ac:dyDescent="0.25">
      <c r="A165" s="576" t="s">
        <v>272</v>
      </c>
      <c r="B165" s="130" t="str">
        <f>'PLANILHA ORÇAMENTÁRIA'!D48</f>
        <v>Rufo de chapa metálica nº 26 com largura de 30 cm</v>
      </c>
      <c r="C165" s="41" t="s">
        <v>52</v>
      </c>
      <c r="D165" s="43"/>
      <c r="E165" s="43">
        <f>E166</f>
        <v>75.22</v>
      </c>
      <c r="F165" s="43"/>
      <c r="G165" s="43"/>
      <c r="H165" s="43"/>
      <c r="I165" s="43"/>
      <c r="J165" s="43"/>
      <c r="K165" s="43"/>
      <c r="L165" s="519">
        <f>E165</f>
        <v>75.22</v>
      </c>
    </row>
    <row r="166" spans="1:12" x14ac:dyDescent="0.25">
      <c r="A166" s="575"/>
      <c r="B166" s="217" t="s">
        <v>588</v>
      </c>
      <c r="C166" s="218"/>
      <c r="D166" s="218"/>
      <c r="E166" s="220">
        <v>75.22</v>
      </c>
      <c r="F166" s="218"/>
      <c r="G166" s="218"/>
      <c r="H166" s="218"/>
      <c r="I166" s="218"/>
      <c r="J166" s="218"/>
      <c r="K166" s="218"/>
      <c r="L166" s="510"/>
    </row>
    <row r="167" spans="1:12" ht="31.5" x14ac:dyDescent="0.25">
      <c r="A167" s="601" t="s">
        <v>273</v>
      </c>
      <c r="B167" s="270" t="str">
        <f>'PLANILHA ORÇAMENTÁRIA'!D49</f>
        <v>Chapim de concreto aparente com acabamento desempenado, forma de compensado plastificado (madeirit), de 14x10 cm, fundido no local</v>
      </c>
      <c r="C167" s="273" t="s">
        <v>52</v>
      </c>
      <c r="D167" s="273"/>
      <c r="E167" s="271">
        <f>E168</f>
        <v>62.45</v>
      </c>
      <c r="F167" s="272"/>
      <c r="G167" s="273"/>
      <c r="H167" s="188"/>
      <c r="I167" s="272"/>
      <c r="J167" s="273"/>
      <c r="K167" s="273"/>
      <c r="L167" s="558">
        <f>E167</f>
        <v>62.45</v>
      </c>
    </row>
    <row r="168" spans="1:12" x14ac:dyDescent="0.25">
      <c r="A168" s="147"/>
      <c r="B168" s="295" t="s">
        <v>498</v>
      </c>
      <c r="C168" s="252"/>
      <c r="D168" s="252"/>
      <c r="E168" s="254">
        <v>62.45</v>
      </c>
      <c r="F168" s="252"/>
      <c r="G168" s="252"/>
      <c r="H168" s="252"/>
      <c r="I168" s="252"/>
      <c r="J168" s="252"/>
      <c r="K168" s="252"/>
      <c r="L168" s="253"/>
    </row>
    <row r="169" spans="1:12" ht="63" x14ac:dyDescent="0.25">
      <c r="A169" s="576" t="s">
        <v>496</v>
      </c>
      <c r="B169" s="60" t="s">
        <v>173</v>
      </c>
      <c r="C169" s="41" t="s">
        <v>11</v>
      </c>
      <c r="D169" s="51"/>
      <c r="E169" s="51"/>
      <c r="F169" s="51"/>
      <c r="G169" s="51"/>
      <c r="H169" s="43">
        <f>SUM(H170:H171)</f>
        <v>413.86</v>
      </c>
      <c r="I169" s="51"/>
      <c r="J169" s="51"/>
      <c r="K169" s="51"/>
      <c r="L169" s="519">
        <v>413.86</v>
      </c>
    </row>
    <row r="170" spans="1:12" x14ac:dyDescent="0.25">
      <c r="A170" s="574"/>
      <c r="B170" s="348" t="s">
        <v>460</v>
      </c>
      <c r="C170" s="349"/>
      <c r="D170" s="349"/>
      <c r="E170" s="349"/>
      <c r="F170" s="349"/>
      <c r="G170" s="349"/>
      <c r="H170" s="221">
        <v>408.86</v>
      </c>
      <c r="I170" s="349"/>
      <c r="J170" s="349"/>
      <c r="K170" s="349"/>
      <c r="L170" s="509"/>
    </row>
    <row r="171" spans="1:12" x14ac:dyDescent="0.25">
      <c r="A171" s="584"/>
      <c r="B171" s="247" t="s">
        <v>461</v>
      </c>
      <c r="C171" s="248"/>
      <c r="D171" s="248"/>
      <c r="E171" s="248"/>
      <c r="F171" s="248"/>
      <c r="G171" s="248"/>
      <c r="H171" s="227">
        <v>5</v>
      </c>
      <c r="I171" s="248"/>
      <c r="J171" s="248"/>
      <c r="K171" s="248"/>
      <c r="L171" s="552"/>
    </row>
    <row r="172" spans="1:12" x14ac:dyDescent="0.25">
      <c r="A172" s="274" t="s">
        <v>274</v>
      </c>
      <c r="B172" s="422" t="s">
        <v>167</v>
      </c>
      <c r="C172" s="422"/>
      <c r="D172" s="422"/>
      <c r="E172" s="422"/>
      <c r="F172" s="422"/>
      <c r="G172" s="422"/>
      <c r="H172" s="422"/>
      <c r="I172" s="422"/>
      <c r="J172" s="422"/>
      <c r="K172" s="422"/>
      <c r="L172" s="423"/>
    </row>
    <row r="173" spans="1:12" x14ac:dyDescent="0.25">
      <c r="A173" s="576" t="s">
        <v>275</v>
      </c>
      <c r="B173" s="49" t="s">
        <v>168</v>
      </c>
      <c r="C173" s="50" t="s">
        <v>56</v>
      </c>
      <c r="D173" s="51">
        <f>SUM(D174:D176)</f>
        <v>3</v>
      </c>
      <c r="E173" s="129"/>
      <c r="F173" s="129"/>
      <c r="G173" s="129"/>
      <c r="H173" s="51"/>
      <c r="I173" s="129"/>
      <c r="J173" s="129"/>
      <c r="K173" s="129"/>
      <c r="L173" s="513">
        <f>D173</f>
        <v>3</v>
      </c>
    </row>
    <row r="174" spans="1:12" x14ac:dyDescent="0.25">
      <c r="A174" s="577"/>
      <c r="B174" s="348" t="s">
        <v>199</v>
      </c>
      <c r="C174" s="349"/>
      <c r="D174" s="221">
        <v>1</v>
      </c>
      <c r="E174" s="349"/>
      <c r="F174" s="349"/>
      <c r="G174" s="349"/>
      <c r="H174" s="221"/>
      <c r="I174" s="349"/>
      <c r="J174" s="349"/>
      <c r="K174" s="349"/>
      <c r="L174" s="509"/>
    </row>
    <row r="175" spans="1:12" x14ac:dyDescent="0.25">
      <c r="A175" s="577"/>
      <c r="B175" s="348" t="s">
        <v>189</v>
      </c>
      <c r="C175" s="349"/>
      <c r="D175" s="221">
        <v>1</v>
      </c>
      <c r="E175" s="349"/>
      <c r="F175" s="349"/>
      <c r="G175" s="349"/>
      <c r="H175" s="221"/>
      <c r="I175" s="349"/>
      <c r="J175" s="349"/>
      <c r="K175" s="349"/>
      <c r="L175" s="509"/>
    </row>
    <row r="176" spans="1:12" x14ac:dyDescent="0.25">
      <c r="A176" s="578"/>
      <c r="B176" s="217" t="s">
        <v>190</v>
      </c>
      <c r="C176" s="218"/>
      <c r="D176" s="222">
        <v>1</v>
      </c>
      <c r="E176" s="218"/>
      <c r="F176" s="218"/>
      <c r="G176" s="218"/>
      <c r="H176" s="222"/>
      <c r="I176" s="218"/>
      <c r="J176" s="218"/>
      <c r="K176" s="218"/>
      <c r="L176" s="510"/>
    </row>
    <row r="177" spans="1:12" ht="31.5" x14ac:dyDescent="0.25">
      <c r="A177" s="576" t="s">
        <v>276</v>
      </c>
      <c r="B177" s="110" t="s">
        <v>158</v>
      </c>
      <c r="C177" s="41" t="s">
        <v>52</v>
      </c>
      <c r="D177" s="51"/>
      <c r="E177" s="43">
        <f>E178</f>
        <v>7.5</v>
      </c>
      <c r="F177" s="51"/>
      <c r="G177" s="51"/>
      <c r="H177" s="43"/>
      <c r="I177" s="51"/>
      <c r="J177" s="51"/>
      <c r="K177" s="51"/>
      <c r="L177" s="519">
        <f>E177</f>
        <v>7.5</v>
      </c>
    </row>
    <row r="178" spans="1:12" x14ac:dyDescent="0.25">
      <c r="A178" s="584"/>
      <c r="B178" s="247" t="s">
        <v>499</v>
      </c>
      <c r="C178" s="248"/>
      <c r="D178" s="248"/>
      <c r="E178" s="227">
        <v>7.5</v>
      </c>
      <c r="F178" s="248"/>
      <c r="G178" s="248"/>
      <c r="H178" s="248"/>
      <c r="I178" s="248"/>
      <c r="J178" s="248"/>
      <c r="K178" s="248"/>
      <c r="L178" s="552"/>
    </row>
    <row r="179" spans="1:12" x14ac:dyDescent="0.25">
      <c r="A179" s="274" t="s">
        <v>277</v>
      </c>
      <c r="B179" s="275" t="s">
        <v>85</v>
      </c>
      <c r="C179" s="174"/>
      <c r="D179" s="175"/>
      <c r="E179" s="175"/>
      <c r="F179" s="175"/>
      <c r="G179" s="175"/>
      <c r="H179" s="175"/>
      <c r="I179" s="175"/>
      <c r="J179" s="175"/>
      <c r="K179" s="175"/>
      <c r="L179" s="176"/>
    </row>
    <row r="180" spans="1:12" x14ac:dyDescent="0.25">
      <c r="A180" s="576" t="s">
        <v>591</v>
      </c>
      <c r="B180" s="49" t="s">
        <v>86</v>
      </c>
      <c r="C180" s="50" t="s">
        <v>11</v>
      </c>
      <c r="D180" s="51"/>
      <c r="E180" s="51"/>
      <c r="F180" s="51"/>
      <c r="G180" s="51"/>
      <c r="H180" s="51">
        <f>SUM(H181:H191)</f>
        <v>342.95000000000005</v>
      </c>
      <c r="I180" s="51"/>
      <c r="J180" s="51"/>
      <c r="K180" s="51"/>
      <c r="L180" s="508">
        <v>342.95000000000005</v>
      </c>
    </row>
    <row r="181" spans="1:12" x14ac:dyDescent="0.25">
      <c r="A181" s="574"/>
      <c r="B181" s="348" t="s">
        <v>445</v>
      </c>
      <c r="C181" s="349"/>
      <c r="D181" s="349"/>
      <c r="E181" s="349"/>
      <c r="F181" s="349"/>
      <c r="G181" s="349"/>
      <c r="H181" s="221">
        <v>47.24</v>
      </c>
      <c r="I181" s="349"/>
      <c r="J181" s="349"/>
      <c r="K181" s="349"/>
      <c r="L181" s="509"/>
    </row>
    <row r="182" spans="1:12" x14ac:dyDescent="0.25">
      <c r="A182" s="574"/>
      <c r="B182" s="348" t="s">
        <v>446</v>
      </c>
      <c r="C182" s="349"/>
      <c r="D182" s="349"/>
      <c r="E182" s="349"/>
      <c r="F182" s="349"/>
      <c r="G182" s="349"/>
      <c r="H182" s="221">
        <v>47.24</v>
      </c>
      <c r="I182" s="349"/>
      <c r="J182" s="349"/>
      <c r="K182" s="349"/>
      <c r="L182" s="509"/>
    </row>
    <row r="183" spans="1:12" x14ac:dyDescent="0.25">
      <c r="A183" s="574"/>
      <c r="B183" s="348" t="s">
        <v>447</v>
      </c>
      <c r="C183" s="349"/>
      <c r="D183" s="349"/>
      <c r="E183" s="349"/>
      <c r="F183" s="349"/>
      <c r="G183" s="349"/>
      <c r="H183" s="221">
        <v>47.06</v>
      </c>
      <c r="I183" s="349"/>
      <c r="J183" s="349"/>
      <c r="K183" s="349"/>
      <c r="L183" s="509"/>
    </row>
    <row r="184" spans="1:12" x14ac:dyDescent="0.25">
      <c r="A184" s="574"/>
      <c r="B184" s="348" t="s">
        <v>448</v>
      </c>
      <c r="C184" s="349"/>
      <c r="D184" s="349"/>
      <c r="E184" s="349"/>
      <c r="F184" s="349"/>
      <c r="G184" s="349"/>
      <c r="H184" s="221">
        <v>47.06</v>
      </c>
      <c r="I184" s="349"/>
      <c r="J184" s="349"/>
      <c r="K184" s="349"/>
      <c r="L184" s="509"/>
    </row>
    <row r="185" spans="1:12" x14ac:dyDescent="0.25">
      <c r="A185" s="574"/>
      <c r="B185" s="348" t="s">
        <v>246</v>
      </c>
      <c r="C185" s="349"/>
      <c r="D185" s="349"/>
      <c r="E185" s="349"/>
      <c r="F185" s="349"/>
      <c r="G185" s="349"/>
      <c r="H185" s="221">
        <v>14.62</v>
      </c>
      <c r="I185" s="349"/>
      <c r="J185" s="349"/>
      <c r="K185" s="349"/>
      <c r="L185" s="509"/>
    </row>
    <row r="186" spans="1:12" x14ac:dyDescent="0.25">
      <c r="A186" s="574"/>
      <c r="B186" s="348" t="s">
        <v>436</v>
      </c>
      <c r="C186" s="349"/>
      <c r="D186" s="349"/>
      <c r="E186" s="349"/>
      <c r="F186" s="349"/>
      <c r="G186" s="349"/>
      <c r="H186" s="221">
        <v>14.62</v>
      </c>
      <c r="I186" s="349"/>
      <c r="J186" s="349"/>
      <c r="K186" s="349"/>
      <c r="L186" s="509"/>
    </row>
    <row r="187" spans="1:12" x14ac:dyDescent="0.25">
      <c r="A187" s="574"/>
      <c r="B187" s="348" t="s">
        <v>206</v>
      </c>
      <c r="C187" s="349"/>
      <c r="D187" s="349"/>
      <c r="E187" s="349"/>
      <c r="F187" s="349"/>
      <c r="G187" s="349"/>
      <c r="H187" s="221">
        <v>10.96</v>
      </c>
      <c r="I187" s="349"/>
      <c r="J187" s="349"/>
      <c r="K187" s="349"/>
      <c r="L187" s="509"/>
    </row>
    <row r="188" spans="1:12" x14ac:dyDescent="0.25">
      <c r="A188" s="574"/>
      <c r="B188" s="348" t="s">
        <v>389</v>
      </c>
      <c r="C188" s="349"/>
      <c r="D188" s="349"/>
      <c r="E188" s="349"/>
      <c r="F188" s="349"/>
      <c r="G188" s="349"/>
      <c r="H188" s="221">
        <v>9.81</v>
      </c>
      <c r="I188" s="349"/>
      <c r="J188" s="349"/>
      <c r="K188" s="349"/>
      <c r="L188" s="509"/>
    </row>
    <row r="189" spans="1:12" x14ac:dyDescent="0.25">
      <c r="A189" s="574"/>
      <c r="B189" s="348" t="s">
        <v>449</v>
      </c>
      <c r="C189" s="349"/>
      <c r="D189" s="349"/>
      <c r="E189" s="349"/>
      <c r="F189" s="349"/>
      <c r="G189" s="349"/>
      <c r="H189" s="221">
        <v>11.68</v>
      </c>
      <c r="I189" s="349"/>
      <c r="J189" s="349"/>
      <c r="K189" s="349"/>
      <c r="L189" s="509"/>
    </row>
    <row r="190" spans="1:12" x14ac:dyDescent="0.25">
      <c r="A190" s="574"/>
      <c r="B190" s="348" t="s">
        <v>450</v>
      </c>
      <c r="C190" s="349"/>
      <c r="D190" s="349"/>
      <c r="E190" s="349"/>
      <c r="F190" s="349"/>
      <c r="G190" s="349"/>
      <c r="H190" s="221">
        <v>20.93</v>
      </c>
      <c r="I190" s="349"/>
      <c r="J190" s="349"/>
      <c r="K190" s="349"/>
      <c r="L190" s="509"/>
    </row>
    <row r="191" spans="1:12" x14ac:dyDescent="0.25">
      <c r="A191" s="584"/>
      <c r="B191" s="247" t="s">
        <v>338</v>
      </c>
      <c r="C191" s="248"/>
      <c r="D191" s="248"/>
      <c r="E191" s="248"/>
      <c r="F191" s="248"/>
      <c r="G191" s="248"/>
      <c r="H191" s="227">
        <v>71.73</v>
      </c>
      <c r="I191" s="248"/>
      <c r="J191" s="248"/>
      <c r="K191" s="248"/>
      <c r="L191" s="552"/>
    </row>
    <row r="192" spans="1:12" x14ac:dyDescent="0.25">
      <c r="A192" s="274" t="s">
        <v>278</v>
      </c>
      <c r="B192" s="275" t="s">
        <v>87</v>
      </c>
      <c r="C192" s="174"/>
      <c r="D192" s="175"/>
      <c r="E192" s="175"/>
      <c r="F192" s="175"/>
      <c r="G192" s="175"/>
      <c r="H192" s="175"/>
      <c r="I192" s="175"/>
      <c r="J192" s="175"/>
      <c r="K192" s="175"/>
      <c r="L192" s="176"/>
    </row>
    <row r="193" spans="1:12" ht="31.5" x14ac:dyDescent="0.25">
      <c r="A193" s="605" t="s">
        <v>279</v>
      </c>
      <c r="B193" s="278" t="str">
        <f>'PLANILHA ORÇAMENTÁRIA'!D57</f>
        <v>Chapisco de argamassa de cimento e areia média ou grossa lavada, no traço 1:3, espessura 5 mm</v>
      </c>
      <c r="C193" s="145" t="s">
        <v>11</v>
      </c>
      <c r="D193" s="311"/>
      <c r="E193" s="37"/>
      <c r="F193" s="38"/>
      <c r="G193" s="311"/>
      <c r="H193" s="37">
        <f>SUM(H194:H197)</f>
        <v>5.3541000000000007</v>
      </c>
      <c r="I193" s="38"/>
      <c r="J193" s="38"/>
      <c r="K193" s="38"/>
      <c r="L193" s="553">
        <f>H193</f>
        <v>5.3541000000000007</v>
      </c>
    </row>
    <row r="194" spans="1:12" x14ac:dyDescent="0.25">
      <c r="A194" s="606"/>
      <c r="B194" s="348" t="s">
        <v>510</v>
      </c>
      <c r="C194" s="279"/>
      <c r="D194" s="279"/>
      <c r="E194" s="279"/>
      <c r="F194" s="279"/>
      <c r="G194" s="279"/>
      <c r="H194" s="266">
        <f>1.2*0.3*2+1.2*0.5</f>
        <v>1.3199999999999998</v>
      </c>
      <c r="I194" s="279"/>
      <c r="J194" s="279"/>
      <c r="K194" s="279"/>
      <c r="L194" s="554"/>
    </row>
    <row r="195" spans="1:12" x14ac:dyDescent="0.25">
      <c r="A195" s="606"/>
      <c r="B195" s="247" t="s">
        <v>511</v>
      </c>
      <c r="C195" s="279"/>
      <c r="D195" s="279"/>
      <c r="E195" s="279"/>
      <c r="F195" s="279"/>
      <c r="G195" s="279"/>
      <c r="H195" s="266">
        <f>0.9*0.15*2</f>
        <v>0.27</v>
      </c>
      <c r="I195" s="279"/>
      <c r="J195" s="279"/>
      <c r="K195" s="279"/>
      <c r="L195" s="554"/>
    </row>
    <row r="196" spans="1:12" x14ac:dyDescent="0.25">
      <c r="A196" s="607"/>
      <c r="B196" s="344" t="s">
        <v>512</v>
      </c>
      <c r="C196" s="345"/>
      <c r="D196" s="345"/>
      <c r="E196" s="345"/>
      <c r="F196" s="345"/>
      <c r="G196" s="345"/>
      <c r="H196" s="267">
        <f>1.2*0.5*2</f>
        <v>1.2</v>
      </c>
      <c r="I196" s="345"/>
      <c r="J196" s="345"/>
      <c r="K196" s="345"/>
      <c r="L196" s="537"/>
    </row>
    <row r="197" spans="1:12" x14ac:dyDescent="0.25">
      <c r="A197" s="608"/>
      <c r="B197" s="280" t="s">
        <v>513</v>
      </c>
      <c r="C197" s="281"/>
      <c r="D197" s="281"/>
      <c r="E197" s="281"/>
      <c r="F197" s="281"/>
      <c r="G197" s="281"/>
      <c r="H197" s="283">
        <f>4.07*0.63</f>
        <v>2.5641000000000003</v>
      </c>
      <c r="I197" s="281"/>
      <c r="J197" s="281"/>
      <c r="K197" s="281"/>
      <c r="L197" s="555"/>
    </row>
    <row r="198" spans="1:12" ht="31.5" x14ac:dyDescent="0.25">
      <c r="A198" s="576" t="s">
        <v>602</v>
      </c>
      <c r="B198" s="110" t="s">
        <v>92</v>
      </c>
      <c r="C198" s="41" t="s">
        <v>11</v>
      </c>
      <c r="D198" s="51"/>
      <c r="E198" s="51"/>
      <c r="F198" s="51"/>
      <c r="G198" s="51"/>
      <c r="H198" s="43">
        <f>SUM(H199:H209)</f>
        <v>222.04500000000002</v>
      </c>
      <c r="I198" s="51"/>
      <c r="J198" s="51"/>
      <c r="K198" s="51"/>
      <c r="L198" s="519">
        <f>H198</f>
        <v>222.04500000000002</v>
      </c>
    </row>
    <row r="199" spans="1:12" x14ac:dyDescent="0.25">
      <c r="A199" s="574"/>
      <c r="B199" s="348" t="s">
        <v>514</v>
      </c>
      <c r="C199" s="249"/>
      <c r="D199" s="249"/>
      <c r="E199" s="249"/>
      <c r="F199" s="249"/>
      <c r="G199" s="249"/>
      <c r="H199" s="266">
        <f>1.2*0.3*2+1.2*0.5</f>
        <v>1.3199999999999998</v>
      </c>
      <c r="I199" s="249"/>
      <c r="J199" s="249"/>
      <c r="K199" s="249"/>
      <c r="L199" s="556"/>
    </row>
    <row r="200" spans="1:12" x14ac:dyDescent="0.25">
      <c r="A200" s="574"/>
      <c r="B200" s="247" t="s">
        <v>515</v>
      </c>
      <c r="C200" s="349"/>
      <c r="D200" s="349"/>
      <c r="E200" s="349"/>
      <c r="F200" s="349"/>
      <c r="G200" s="349"/>
      <c r="H200" s="266">
        <f>0.9*0.15*2</f>
        <v>0.27</v>
      </c>
      <c r="I200" s="349"/>
      <c r="J200" s="349"/>
      <c r="K200" s="349"/>
      <c r="L200" s="509"/>
    </row>
    <row r="201" spans="1:12" x14ac:dyDescent="0.25">
      <c r="A201" s="584"/>
      <c r="B201" s="344" t="s">
        <v>512</v>
      </c>
      <c r="C201" s="186"/>
      <c r="D201" s="186"/>
      <c r="E201" s="186"/>
      <c r="F201" s="186"/>
      <c r="G201" s="186"/>
      <c r="H201" s="267">
        <f>1.2*0.5*2</f>
        <v>1.2</v>
      </c>
      <c r="I201" s="186"/>
      <c r="J201" s="186"/>
      <c r="K201" s="186"/>
      <c r="L201" s="520"/>
    </row>
    <row r="202" spans="1:12" x14ac:dyDescent="0.25">
      <c r="A202" s="584"/>
      <c r="B202" s="282" t="s">
        <v>513</v>
      </c>
      <c r="C202" s="186"/>
      <c r="D202" s="186"/>
      <c r="E202" s="186"/>
      <c r="F202" s="186"/>
      <c r="G202" s="186"/>
      <c r="H202" s="285">
        <v>2.56</v>
      </c>
      <c r="I202" s="186"/>
      <c r="J202" s="186"/>
      <c r="K202" s="186"/>
      <c r="L202" s="520"/>
    </row>
    <row r="203" spans="1:12" x14ac:dyDescent="0.25">
      <c r="A203" s="584"/>
      <c r="B203" s="414" t="s">
        <v>625</v>
      </c>
      <c r="C203" s="415"/>
      <c r="D203" s="415"/>
      <c r="E203" s="415"/>
      <c r="F203" s="415"/>
      <c r="G203" s="415"/>
      <c r="H203" s="227">
        <f>6.4*0.47+2.5*0.47+6.4*0.47+2.5*0.47-5.38</f>
        <v>2.9859999999999998</v>
      </c>
      <c r="I203" s="186"/>
      <c r="J203" s="186"/>
      <c r="K203" s="186"/>
      <c r="L203" s="520"/>
    </row>
    <row r="204" spans="1:12" x14ac:dyDescent="0.25">
      <c r="A204" s="584"/>
      <c r="B204" s="400" t="s">
        <v>626</v>
      </c>
      <c r="C204" s="401"/>
      <c r="D204" s="401"/>
      <c r="E204" s="401"/>
      <c r="F204" s="401"/>
      <c r="G204" s="401"/>
      <c r="H204" s="221">
        <f>6.4*0.47+3.73*0.47+6.4*0.47+5.17*0.47-7.69</f>
        <v>2.5089999999999995</v>
      </c>
      <c r="I204" s="186"/>
      <c r="J204" s="186"/>
      <c r="K204" s="186"/>
      <c r="L204" s="520"/>
    </row>
    <row r="205" spans="1:12" x14ac:dyDescent="0.25">
      <c r="A205" s="584"/>
      <c r="B205" s="424" t="s">
        <v>503</v>
      </c>
      <c r="C205" s="425"/>
      <c r="D205" s="425"/>
      <c r="E205" s="425"/>
      <c r="F205" s="425"/>
      <c r="G205" s="425"/>
      <c r="H205" s="308">
        <v>47.84</v>
      </c>
      <c r="I205" s="186"/>
      <c r="J205" s="186"/>
      <c r="K205" s="186"/>
      <c r="L205" s="520"/>
    </row>
    <row r="206" spans="1:12" x14ac:dyDescent="0.25">
      <c r="A206" s="584"/>
      <c r="B206" s="282" t="s">
        <v>504</v>
      </c>
      <c r="C206" s="186"/>
      <c r="D206" s="186"/>
      <c r="E206" s="186"/>
      <c r="F206" s="186"/>
      <c r="G206" s="186"/>
      <c r="H206" s="227">
        <v>47.84</v>
      </c>
      <c r="I206" s="186"/>
      <c r="J206" s="186"/>
      <c r="K206" s="186"/>
      <c r="L206" s="520"/>
    </row>
    <row r="207" spans="1:12" x14ac:dyDescent="0.25">
      <c r="A207" s="584"/>
      <c r="B207" s="400" t="s">
        <v>505</v>
      </c>
      <c r="C207" s="401"/>
      <c r="D207" s="401"/>
      <c r="E207" s="401"/>
      <c r="F207" s="401"/>
      <c r="G207" s="401"/>
      <c r="H207" s="227">
        <v>47.74</v>
      </c>
      <c r="I207" s="186"/>
      <c r="J207" s="186"/>
      <c r="K207" s="186"/>
      <c r="L207" s="520"/>
    </row>
    <row r="208" spans="1:12" x14ac:dyDescent="0.25">
      <c r="A208" s="584"/>
      <c r="B208" s="400" t="s">
        <v>506</v>
      </c>
      <c r="C208" s="401"/>
      <c r="D208" s="401"/>
      <c r="E208" s="401"/>
      <c r="F208" s="401"/>
      <c r="G208" s="401"/>
      <c r="H208" s="227">
        <v>47.74</v>
      </c>
      <c r="I208" s="186"/>
      <c r="J208" s="186"/>
      <c r="K208" s="186"/>
      <c r="L208" s="520"/>
    </row>
    <row r="209" spans="1:12" ht="24.75" customHeight="1" x14ac:dyDescent="0.25">
      <c r="A209" s="585"/>
      <c r="B209" s="402" t="s">
        <v>573</v>
      </c>
      <c r="C209" s="403"/>
      <c r="D209" s="403"/>
      <c r="E209" s="403"/>
      <c r="F209" s="403"/>
      <c r="G209" s="403"/>
      <c r="H209" s="222">
        <v>20.04</v>
      </c>
      <c r="I209" s="269"/>
      <c r="J209" s="269"/>
      <c r="K209" s="269"/>
      <c r="L209" s="551"/>
    </row>
    <row r="210" spans="1:12" ht="31.5" x14ac:dyDescent="0.25">
      <c r="A210" s="601" t="s">
        <v>603</v>
      </c>
      <c r="B210" s="187" t="str">
        <f>'PLANILHA ORÇAMENTÁRIA'!D59</f>
        <v>Regularização de base p/ revestimento cerâmico, com argamassa de cimento e areia no traço 1:5, espessura 3cm</v>
      </c>
      <c r="C210" s="41" t="s">
        <v>11</v>
      </c>
      <c r="D210" s="41"/>
      <c r="E210" s="41"/>
      <c r="F210" s="41"/>
      <c r="G210" s="41"/>
      <c r="H210" s="158">
        <f>SUM(H211:H212)</f>
        <v>56.250000000000007</v>
      </c>
      <c r="I210" s="41"/>
      <c r="J210" s="188"/>
      <c r="K210" s="41"/>
      <c r="L210" s="557">
        <f>H210</f>
        <v>56.250000000000007</v>
      </c>
    </row>
    <row r="211" spans="1:12" ht="27" customHeight="1" x14ac:dyDescent="0.25">
      <c r="A211" s="579"/>
      <c r="B211" s="398" t="s">
        <v>516</v>
      </c>
      <c r="C211" s="399"/>
      <c r="D211" s="399"/>
      <c r="E211" s="399"/>
      <c r="F211" s="399"/>
      <c r="G211" s="399"/>
      <c r="H211" s="267">
        <f>6.4*1.5+2.5*1.5+6.4*1.5+2.5*1.5-1.5</f>
        <v>25.200000000000003</v>
      </c>
      <c r="I211" s="205"/>
      <c r="J211" s="205"/>
      <c r="K211" s="205"/>
      <c r="L211" s="539"/>
    </row>
    <row r="212" spans="1:12" ht="27" customHeight="1" x14ac:dyDescent="0.25">
      <c r="A212" s="585"/>
      <c r="B212" s="396" t="s">
        <v>517</v>
      </c>
      <c r="C212" s="397"/>
      <c r="D212" s="397"/>
      <c r="E212" s="397"/>
      <c r="F212" s="397"/>
      <c r="G212" s="397"/>
      <c r="H212" s="237">
        <f>6.4*1.5+3.73*1.5+6.4*1.5+5.17*1.5-1.5</f>
        <v>31.050000000000004</v>
      </c>
      <c r="I212" s="269"/>
      <c r="J212" s="269"/>
      <c r="K212" s="269"/>
      <c r="L212" s="551"/>
    </row>
    <row r="213" spans="1:12" ht="47.25" x14ac:dyDescent="0.25">
      <c r="A213" s="576" t="s">
        <v>604</v>
      </c>
      <c r="B213" s="110" t="s">
        <v>160</v>
      </c>
      <c r="C213" s="41" t="s">
        <v>11</v>
      </c>
      <c r="D213" s="51"/>
      <c r="E213" s="51"/>
      <c r="F213" s="51"/>
      <c r="G213" s="51"/>
      <c r="H213" s="43">
        <f>SUM(H214:H217)</f>
        <v>66.075000000000003</v>
      </c>
      <c r="I213" s="51"/>
      <c r="J213" s="51"/>
      <c r="K213" s="51"/>
      <c r="L213" s="519">
        <f>H213</f>
        <v>66.075000000000003</v>
      </c>
    </row>
    <row r="214" spans="1:12" ht="27" customHeight="1" x14ac:dyDescent="0.25">
      <c r="A214" s="579"/>
      <c r="B214" s="398" t="s">
        <v>516</v>
      </c>
      <c r="C214" s="399"/>
      <c r="D214" s="399"/>
      <c r="E214" s="399"/>
      <c r="F214" s="399"/>
      <c r="G214" s="399"/>
      <c r="H214" s="267">
        <f>6.4*1.5+2.5*1.5+6.4*1.5+2.5*1.5-1.5</f>
        <v>25.200000000000003</v>
      </c>
      <c r="I214" s="205"/>
      <c r="J214" s="205"/>
      <c r="K214" s="205"/>
      <c r="L214" s="539"/>
    </row>
    <row r="215" spans="1:12" ht="27" customHeight="1" x14ac:dyDescent="0.25">
      <c r="A215" s="579"/>
      <c r="B215" s="398" t="s">
        <v>517</v>
      </c>
      <c r="C215" s="399"/>
      <c r="D215" s="399"/>
      <c r="E215" s="399"/>
      <c r="F215" s="399"/>
      <c r="G215" s="399"/>
      <c r="H215" s="267">
        <f>6.4*1.5+3.73*1.5+6.4*1.5+5.17*1.5-1.5</f>
        <v>31.050000000000004</v>
      </c>
      <c r="I215" s="205"/>
      <c r="J215" s="205"/>
      <c r="K215" s="205"/>
      <c r="L215" s="539"/>
    </row>
    <row r="216" spans="1:12" x14ac:dyDescent="0.25">
      <c r="A216" s="579"/>
      <c r="B216" s="204" t="s">
        <v>518</v>
      </c>
      <c r="C216" s="205"/>
      <c r="D216" s="205"/>
      <c r="E216" s="205"/>
      <c r="F216" s="205"/>
      <c r="G216" s="205"/>
      <c r="H216" s="267">
        <f>3.97*1.5</f>
        <v>5.9550000000000001</v>
      </c>
      <c r="I216" s="205"/>
      <c r="J216" s="205"/>
      <c r="K216" s="205"/>
      <c r="L216" s="539"/>
    </row>
    <row r="217" spans="1:12" x14ac:dyDescent="0.25">
      <c r="A217" s="585"/>
      <c r="B217" s="268" t="s">
        <v>519</v>
      </c>
      <c r="C217" s="269"/>
      <c r="D217" s="269"/>
      <c r="E217" s="269"/>
      <c r="F217" s="269"/>
      <c r="G217" s="269"/>
      <c r="H217" s="237">
        <f>2.58*1.5</f>
        <v>3.87</v>
      </c>
      <c r="I217" s="269"/>
      <c r="J217" s="269"/>
      <c r="K217" s="269"/>
      <c r="L217" s="551"/>
    </row>
    <row r="218" spans="1:12" x14ac:dyDescent="0.25">
      <c r="A218" s="576" t="s">
        <v>605</v>
      </c>
      <c r="B218" s="130" t="s">
        <v>88</v>
      </c>
      <c r="C218" s="50" t="s">
        <v>11</v>
      </c>
      <c r="D218" s="51"/>
      <c r="E218" s="51"/>
      <c r="F218" s="51"/>
      <c r="G218" s="51"/>
      <c r="H218" s="51">
        <f>SUM(H219:H220)</f>
        <v>93.220999999999989</v>
      </c>
      <c r="I218" s="51"/>
      <c r="J218" s="51"/>
      <c r="K218" s="51"/>
      <c r="L218" s="508">
        <f>H218</f>
        <v>93.220999999999989</v>
      </c>
    </row>
    <row r="219" spans="1:12" ht="39" customHeight="1" x14ac:dyDescent="0.25">
      <c r="A219" s="574"/>
      <c r="B219" s="408" t="s">
        <v>520</v>
      </c>
      <c r="C219" s="409"/>
      <c r="D219" s="409"/>
      <c r="E219" s="409"/>
      <c r="F219" s="409"/>
      <c r="G219" s="409"/>
      <c r="H219" s="221">
        <f>2.13*1.9+0.31*1.9+0.28*1.9+33.52*1.9+0.28*1.9+0.31*1.9+2.13*1.9+0.31*1.9+3*0.65+26.64*0.65+0.28*1.9-20.19</f>
        <v>74.220999999999989</v>
      </c>
      <c r="I219" s="349"/>
      <c r="J219" s="349"/>
      <c r="K219" s="349"/>
      <c r="L219" s="509"/>
    </row>
    <row r="220" spans="1:12" ht="24.75" customHeight="1" x14ac:dyDescent="0.25">
      <c r="A220" s="579"/>
      <c r="B220" s="396" t="s">
        <v>521</v>
      </c>
      <c r="C220" s="397"/>
      <c r="D220" s="397"/>
      <c r="E220" s="397"/>
      <c r="F220" s="397"/>
      <c r="G220" s="397"/>
      <c r="H220" s="221">
        <f>5.54*1.9*2+2.11*1.9*2-10.07</f>
        <v>19</v>
      </c>
      <c r="I220" s="349"/>
      <c r="J220" s="349"/>
      <c r="K220" s="349"/>
      <c r="L220" s="509"/>
    </row>
    <row r="221" spans="1:12" x14ac:dyDescent="0.25">
      <c r="A221" s="274" t="s">
        <v>280</v>
      </c>
      <c r="B221" s="275" t="s">
        <v>100</v>
      </c>
      <c r="C221" s="174"/>
      <c r="D221" s="175"/>
      <c r="E221" s="175"/>
      <c r="F221" s="175"/>
      <c r="G221" s="175"/>
      <c r="H221" s="175"/>
      <c r="I221" s="175"/>
      <c r="J221" s="175"/>
      <c r="K221" s="175"/>
      <c r="L221" s="176"/>
    </row>
    <row r="222" spans="1:12" x14ac:dyDescent="0.25">
      <c r="A222" s="119" t="s">
        <v>281</v>
      </c>
      <c r="B222" s="64" t="s">
        <v>146</v>
      </c>
      <c r="C222" s="61"/>
      <c r="D222" s="62"/>
      <c r="E222" s="62"/>
      <c r="F222" s="62"/>
      <c r="G222" s="62"/>
      <c r="H222" s="62"/>
      <c r="I222" s="62"/>
      <c r="J222" s="62"/>
      <c r="K222" s="62"/>
      <c r="L222" s="63"/>
    </row>
    <row r="223" spans="1:12" ht="31.5" x14ac:dyDescent="0.25">
      <c r="A223" s="576" t="s">
        <v>592</v>
      </c>
      <c r="B223" s="60" t="s">
        <v>147</v>
      </c>
      <c r="C223" s="41" t="s">
        <v>11</v>
      </c>
      <c r="D223" s="51"/>
      <c r="E223" s="51"/>
      <c r="F223" s="51"/>
      <c r="G223" s="51"/>
      <c r="H223" s="43">
        <f>SUM(H224:H226)</f>
        <v>52.44</v>
      </c>
      <c r="I223" s="51"/>
      <c r="J223" s="51"/>
      <c r="K223" s="51"/>
      <c r="L223" s="519">
        <f>H223</f>
        <v>52.44</v>
      </c>
    </row>
    <row r="224" spans="1:12" x14ac:dyDescent="0.25">
      <c r="A224" s="574"/>
      <c r="B224" s="348" t="s">
        <v>243</v>
      </c>
      <c r="C224" s="349"/>
      <c r="D224" s="349"/>
      <c r="E224" s="349"/>
      <c r="F224" s="349"/>
      <c r="G224" s="349"/>
      <c r="H224" s="221">
        <v>16</v>
      </c>
      <c r="I224" s="349"/>
      <c r="J224" s="349"/>
      <c r="K224" s="349"/>
      <c r="L224" s="509"/>
    </row>
    <row r="225" spans="1:12" x14ac:dyDescent="0.25">
      <c r="A225" s="574"/>
      <c r="B225" s="348" t="s">
        <v>522</v>
      </c>
      <c r="C225" s="349"/>
      <c r="D225" s="349"/>
      <c r="E225" s="349"/>
      <c r="F225" s="349"/>
      <c r="G225" s="349"/>
      <c r="H225" s="221">
        <v>21.82</v>
      </c>
      <c r="I225" s="349"/>
      <c r="J225" s="349"/>
      <c r="K225" s="349"/>
      <c r="L225" s="509"/>
    </row>
    <row r="226" spans="1:12" x14ac:dyDescent="0.25">
      <c r="A226" s="575"/>
      <c r="B226" s="217" t="s">
        <v>246</v>
      </c>
      <c r="C226" s="218"/>
      <c r="D226" s="218"/>
      <c r="E226" s="218"/>
      <c r="F226" s="218"/>
      <c r="G226" s="218"/>
      <c r="H226" s="222">
        <v>14.62</v>
      </c>
      <c r="I226" s="218"/>
      <c r="J226" s="218"/>
      <c r="K226" s="218"/>
      <c r="L226" s="510"/>
    </row>
    <row r="227" spans="1:12" ht="47.25" x14ac:dyDescent="0.25">
      <c r="A227" s="576" t="s">
        <v>593</v>
      </c>
      <c r="B227" s="110" t="s">
        <v>101</v>
      </c>
      <c r="C227" s="41" t="s">
        <v>11</v>
      </c>
      <c r="D227" s="43"/>
      <c r="E227" s="43"/>
      <c r="F227" s="43"/>
      <c r="G227" s="43"/>
      <c r="H227" s="43">
        <f>SUM(H228:H230)</f>
        <v>52.44</v>
      </c>
      <c r="I227" s="43"/>
      <c r="J227" s="43"/>
      <c r="K227" s="43"/>
      <c r="L227" s="519">
        <f>H227</f>
        <v>52.44</v>
      </c>
    </row>
    <row r="228" spans="1:12" x14ac:dyDescent="0.25">
      <c r="A228" s="574"/>
      <c r="B228" s="348" t="s">
        <v>243</v>
      </c>
      <c r="C228" s="349"/>
      <c r="D228" s="349"/>
      <c r="E228" s="349"/>
      <c r="F228" s="349"/>
      <c r="G228" s="349"/>
      <c r="H228" s="221">
        <v>16</v>
      </c>
      <c r="I228" s="349"/>
      <c r="J228" s="349"/>
      <c r="K228" s="349"/>
      <c r="L228" s="509"/>
    </row>
    <row r="229" spans="1:12" x14ac:dyDescent="0.25">
      <c r="A229" s="574"/>
      <c r="B229" s="348" t="s">
        <v>242</v>
      </c>
      <c r="C229" s="349"/>
      <c r="D229" s="349"/>
      <c r="E229" s="349"/>
      <c r="F229" s="349"/>
      <c r="G229" s="349"/>
      <c r="H229" s="221">
        <v>21.82</v>
      </c>
      <c r="I229" s="349"/>
      <c r="J229" s="349"/>
      <c r="K229" s="349"/>
      <c r="L229" s="509"/>
    </row>
    <row r="230" spans="1:12" x14ac:dyDescent="0.25">
      <c r="A230" s="575"/>
      <c r="B230" s="217" t="s">
        <v>246</v>
      </c>
      <c r="C230" s="218"/>
      <c r="D230" s="218"/>
      <c r="E230" s="218"/>
      <c r="F230" s="218"/>
      <c r="G230" s="218"/>
      <c r="H230" s="222">
        <v>14.62</v>
      </c>
      <c r="I230" s="218"/>
      <c r="J230" s="218"/>
      <c r="K230" s="218"/>
      <c r="L230" s="510"/>
    </row>
    <row r="231" spans="1:12" x14ac:dyDescent="0.25">
      <c r="A231" s="274" t="s">
        <v>282</v>
      </c>
      <c r="B231" s="275" t="s">
        <v>102</v>
      </c>
      <c r="C231" s="174"/>
      <c r="D231" s="175"/>
      <c r="E231" s="175"/>
      <c r="F231" s="175"/>
      <c r="G231" s="175"/>
      <c r="H231" s="175"/>
      <c r="I231" s="175"/>
      <c r="J231" s="175"/>
      <c r="K231" s="175"/>
      <c r="L231" s="176"/>
    </row>
    <row r="232" spans="1:12" x14ac:dyDescent="0.25">
      <c r="A232" s="119" t="s">
        <v>283</v>
      </c>
      <c r="B232" s="390" t="s">
        <v>120</v>
      </c>
      <c r="C232" s="391"/>
      <c r="D232" s="391"/>
      <c r="E232" s="391"/>
      <c r="F232" s="391"/>
      <c r="G232" s="391"/>
      <c r="H232" s="391"/>
      <c r="I232" s="391"/>
      <c r="J232" s="391"/>
      <c r="K232" s="391"/>
      <c r="L232" s="421"/>
    </row>
    <row r="233" spans="1:12" x14ac:dyDescent="0.25">
      <c r="A233" s="576" t="s">
        <v>284</v>
      </c>
      <c r="B233" s="49" t="str">
        <f>'PLANILHA ORÇAMENTÁRIA'!D68</f>
        <v>Ponto de água fria (lavatório, tanque, pia de cozinha, etc...)</v>
      </c>
      <c r="C233" s="50" t="s">
        <v>104</v>
      </c>
      <c r="D233" s="51">
        <f>D234</f>
        <v>1</v>
      </c>
      <c r="E233" s="51"/>
      <c r="F233" s="51"/>
      <c r="G233" s="51"/>
      <c r="H233" s="51"/>
      <c r="I233" s="51"/>
      <c r="J233" s="51"/>
      <c r="K233" s="51"/>
      <c r="L233" s="513">
        <f>D233</f>
        <v>1</v>
      </c>
    </row>
    <row r="234" spans="1:12" x14ac:dyDescent="0.25">
      <c r="A234" s="575"/>
      <c r="B234" s="217" t="s">
        <v>194</v>
      </c>
      <c r="C234" s="218"/>
      <c r="D234" s="222">
        <v>1</v>
      </c>
      <c r="E234" s="218"/>
      <c r="F234" s="218"/>
      <c r="G234" s="218"/>
      <c r="H234" s="218"/>
      <c r="I234" s="218"/>
      <c r="J234" s="218"/>
      <c r="K234" s="218"/>
      <c r="L234" s="510"/>
    </row>
    <row r="235" spans="1:12" x14ac:dyDescent="0.25">
      <c r="A235" s="331" t="s">
        <v>285</v>
      </c>
      <c r="B235" s="132" t="str">
        <f>'PLANILHA ORÇAMENTÁRIA'!D69</f>
        <v xml:space="preserve">Ponto com registro de gaveta 1/2" </v>
      </c>
      <c r="C235" s="131" t="s">
        <v>104</v>
      </c>
      <c r="D235" s="133">
        <f>D236</f>
        <v>1</v>
      </c>
      <c r="E235" s="133"/>
      <c r="F235" s="133"/>
      <c r="G235" s="133"/>
      <c r="H235" s="133"/>
      <c r="I235" s="133"/>
      <c r="J235" s="133"/>
      <c r="K235" s="133"/>
      <c r="L235" s="513">
        <f>D235</f>
        <v>1</v>
      </c>
    </row>
    <row r="236" spans="1:12" x14ac:dyDescent="0.25">
      <c r="A236" s="147"/>
      <c r="B236" s="252" t="s">
        <v>194</v>
      </c>
      <c r="C236" s="252"/>
      <c r="D236" s="254">
        <v>1</v>
      </c>
      <c r="E236" s="252"/>
      <c r="F236" s="252"/>
      <c r="G236" s="252"/>
      <c r="H236" s="252"/>
      <c r="I236" s="252"/>
      <c r="J236" s="252"/>
      <c r="K236" s="252"/>
      <c r="L236" s="253"/>
    </row>
    <row r="237" spans="1:12" ht="66" customHeight="1" x14ac:dyDescent="0.25">
      <c r="A237" s="576" t="s">
        <v>594</v>
      </c>
      <c r="B237" s="65" t="str">
        <f>'PLANILHA ORÇAMENTÁRIA'!D70</f>
        <v>Ponto p/ válvula (mictório), inclusive válvula, com acabamento marca de referência Pressmatic Docol, Mod. 17015106 e tubo de ligação p/mictório antivandalismo Pressmatic Mod. 00132606 marca de ref. Docol ou equivalente</v>
      </c>
      <c r="C237" s="41" t="s">
        <v>104</v>
      </c>
      <c r="D237" s="43">
        <f>D238</f>
        <v>2</v>
      </c>
      <c r="E237" s="43"/>
      <c r="F237" s="43"/>
      <c r="G237" s="43"/>
      <c r="H237" s="43"/>
      <c r="I237" s="43"/>
      <c r="J237" s="43"/>
      <c r="K237" s="43"/>
      <c r="L237" s="519">
        <f>D237</f>
        <v>2</v>
      </c>
    </row>
    <row r="238" spans="1:12" x14ac:dyDescent="0.25">
      <c r="A238" s="575"/>
      <c r="B238" s="217" t="s">
        <v>241</v>
      </c>
      <c r="C238" s="218"/>
      <c r="D238" s="222">
        <v>2</v>
      </c>
      <c r="E238" s="218"/>
      <c r="F238" s="218"/>
      <c r="G238" s="218"/>
      <c r="H238" s="218"/>
      <c r="I238" s="218"/>
      <c r="J238" s="218"/>
      <c r="K238" s="218"/>
      <c r="L238" s="510"/>
    </row>
    <row r="239" spans="1:12" x14ac:dyDescent="0.25">
      <c r="A239" s="576" t="s">
        <v>606</v>
      </c>
      <c r="B239" s="49" t="str">
        <f>'PLANILHA ORÇAMENTÁRIA'!D71</f>
        <v>Ponto para esgoto primário (vaso sanitário)</v>
      </c>
      <c r="C239" s="50" t="s">
        <v>104</v>
      </c>
      <c r="D239" s="51">
        <f>SUM(D240:D241)</f>
        <v>2</v>
      </c>
      <c r="E239" s="51"/>
      <c r="F239" s="51"/>
      <c r="G239" s="51"/>
      <c r="H239" s="51"/>
      <c r="I239" s="51"/>
      <c r="J239" s="51"/>
      <c r="K239" s="51"/>
      <c r="L239" s="508">
        <f>D239</f>
        <v>2</v>
      </c>
    </row>
    <row r="240" spans="1:12" x14ac:dyDescent="0.25">
      <c r="A240" s="574"/>
      <c r="B240" s="348" t="s">
        <v>523</v>
      </c>
      <c r="C240" s="349"/>
      <c r="D240" s="221">
        <v>1</v>
      </c>
      <c r="E240" s="349"/>
      <c r="F240" s="349"/>
      <c r="G240" s="349"/>
      <c r="H240" s="349"/>
      <c r="I240" s="349"/>
      <c r="J240" s="349"/>
      <c r="K240" s="349"/>
      <c r="L240" s="509"/>
    </row>
    <row r="241" spans="1:12" x14ac:dyDescent="0.25">
      <c r="A241" s="575"/>
      <c r="B241" s="184" t="s">
        <v>242</v>
      </c>
      <c r="C241" s="185"/>
      <c r="D241" s="222">
        <v>1</v>
      </c>
      <c r="E241" s="185"/>
      <c r="F241" s="185"/>
      <c r="G241" s="185"/>
      <c r="H241" s="185"/>
      <c r="I241" s="185"/>
      <c r="J241" s="185"/>
      <c r="K241" s="185"/>
      <c r="L241" s="512"/>
    </row>
    <row r="242" spans="1:12" ht="31.5" x14ac:dyDescent="0.25">
      <c r="A242" s="609" t="s">
        <v>607</v>
      </c>
      <c r="B242" s="110" t="str">
        <f>'PLANILHA ORÇAMENTÁRIA'!D72</f>
        <v>Ponto para esgoto secundário (pia, lavatório, mictório, tanque, bidê, etc...)</v>
      </c>
      <c r="C242" s="114" t="s">
        <v>104</v>
      </c>
      <c r="D242" s="115">
        <f>SUM(D243:D244)</f>
        <v>5</v>
      </c>
      <c r="E242" s="115"/>
      <c r="F242" s="115"/>
      <c r="G242" s="115"/>
      <c r="H242" s="115"/>
      <c r="I242" s="115"/>
      <c r="J242" s="115"/>
      <c r="K242" s="115"/>
      <c r="L242" s="542">
        <f>D242</f>
        <v>5</v>
      </c>
    </row>
    <row r="243" spans="1:12" x14ac:dyDescent="0.25">
      <c r="A243" s="610"/>
      <c r="B243" s="159" t="s">
        <v>194</v>
      </c>
      <c r="C243" s="160"/>
      <c r="D243" s="255">
        <v>2</v>
      </c>
      <c r="E243" s="160"/>
      <c r="F243" s="160"/>
      <c r="G243" s="160"/>
      <c r="H243" s="160"/>
      <c r="I243" s="160"/>
      <c r="J243" s="160"/>
      <c r="K243" s="160"/>
      <c r="L243" s="543"/>
    </row>
    <row r="244" spans="1:12" x14ac:dyDescent="0.25">
      <c r="A244" s="611"/>
      <c r="B244" s="346" t="s">
        <v>243</v>
      </c>
      <c r="C244" s="347"/>
      <c r="D244" s="246">
        <v>3</v>
      </c>
      <c r="E244" s="347"/>
      <c r="F244" s="347"/>
      <c r="G244" s="347"/>
      <c r="H244" s="347"/>
      <c r="I244" s="347"/>
      <c r="J244" s="347"/>
      <c r="K244" s="347"/>
      <c r="L244" s="541"/>
    </row>
    <row r="245" spans="1:12" ht="31.5" x14ac:dyDescent="0.25">
      <c r="A245" s="576" t="s">
        <v>608</v>
      </c>
      <c r="B245" s="54" t="str">
        <f>'PLANILHA ORÇAMENTÁRIA'!D73</f>
        <v>Ponto para caixa sifonada, inclusive caixa sifonada pvc 150x150x50mm com grelha em aço inox</v>
      </c>
      <c r="C245" s="41" t="s">
        <v>104</v>
      </c>
      <c r="D245" s="43">
        <f>SUM(D246:D247)</f>
        <v>2</v>
      </c>
      <c r="E245" s="43"/>
      <c r="F245" s="43"/>
      <c r="G245" s="43"/>
      <c r="H245" s="43"/>
      <c r="I245" s="43"/>
      <c r="J245" s="43"/>
      <c r="K245" s="43"/>
      <c r="L245" s="519">
        <f>D245</f>
        <v>2</v>
      </c>
    </row>
    <row r="246" spans="1:12" x14ac:dyDescent="0.25">
      <c r="A246" s="574"/>
      <c r="B246" s="348" t="s">
        <v>242</v>
      </c>
      <c r="C246" s="349"/>
      <c r="D246" s="221">
        <v>1</v>
      </c>
      <c r="E246" s="349"/>
      <c r="F246" s="349"/>
      <c r="G246" s="349"/>
      <c r="H246" s="349"/>
      <c r="I246" s="349"/>
      <c r="J246" s="349"/>
      <c r="K246" s="349"/>
      <c r="L246" s="509"/>
    </row>
    <row r="247" spans="1:12" x14ac:dyDescent="0.25">
      <c r="A247" s="575"/>
      <c r="B247" s="217" t="s">
        <v>243</v>
      </c>
      <c r="C247" s="218"/>
      <c r="D247" s="222">
        <v>1</v>
      </c>
      <c r="E247" s="218"/>
      <c r="F247" s="218"/>
      <c r="G247" s="218"/>
      <c r="H247" s="218"/>
      <c r="I247" s="218"/>
      <c r="J247" s="218"/>
      <c r="K247" s="218"/>
      <c r="L247" s="510"/>
    </row>
    <row r="248" spans="1:12" x14ac:dyDescent="0.25">
      <c r="A248" s="119" t="s">
        <v>595</v>
      </c>
      <c r="B248" s="120" t="str">
        <f>'PLANILHA ORÇAMENTÁRIA'!D74</f>
        <v>TUBOS DE LIGAÇÃO PARA CAIXAS</v>
      </c>
      <c r="C248" s="121"/>
      <c r="D248" s="122"/>
      <c r="E248" s="122"/>
      <c r="F248" s="122"/>
      <c r="G248" s="122"/>
      <c r="H248" s="122"/>
      <c r="I248" s="122"/>
      <c r="J248" s="122"/>
      <c r="K248" s="122"/>
      <c r="L248" s="123"/>
    </row>
    <row r="249" spans="1:12" ht="31.5" x14ac:dyDescent="0.25">
      <c r="A249" s="609" t="s">
        <v>596</v>
      </c>
      <c r="B249" s="110" t="str">
        <f>'PLANILHA ORÇAMENTÁRIA'!D75</f>
        <v>Tubo de PVC rígido soldável marrom, diâm. 40mm (11/4"), inclusive conexões</v>
      </c>
      <c r="C249" s="114" t="s">
        <v>52</v>
      </c>
      <c r="D249" s="115"/>
      <c r="E249" s="115">
        <f>SUM(E250:E252)</f>
        <v>27.14</v>
      </c>
      <c r="F249" s="115"/>
      <c r="G249" s="115"/>
      <c r="H249" s="115"/>
      <c r="I249" s="115"/>
      <c r="J249" s="115"/>
      <c r="K249" s="115"/>
      <c r="L249" s="542">
        <f>E249</f>
        <v>27.14</v>
      </c>
    </row>
    <row r="250" spans="1:12" x14ac:dyDescent="0.25">
      <c r="A250" s="612"/>
      <c r="B250" s="198" t="s">
        <v>243</v>
      </c>
      <c r="C250" s="200"/>
      <c r="D250" s="372"/>
      <c r="E250" s="372">
        <v>8.11</v>
      </c>
      <c r="F250" s="372"/>
      <c r="G250" s="372"/>
      <c r="H250" s="372"/>
      <c r="I250" s="372"/>
      <c r="J250" s="372"/>
      <c r="K250" s="372"/>
      <c r="L250" s="544"/>
    </row>
    <row r="251" spans="1:12" x14ac:dyDescent="0.25">
      <c r="A251" s="613"/>
      <c r="B251" s="366" t="s">
        <v>242</v>
      </c>
      <c r="C251" s="367"/>
      <c r="D251" s="368"/>
      <c r="E251" s="368">
        <v>9.2100000000000009</v>
      </c>
      <c r="F251" s="368"/>
      <c r="G251" s="368"/>
      <c r="H251" s="368"/>
      <c r="I251" s="368"/>
      <c r="J251" s="368"/>
      <c r="K251" s="368"/>
      <c r="L251" s="545"/>
    </row>
    <row r="252" spans="1:12" x14ac:dyDescent="0.25">
      <c r="A252" s="369"/>
      <c r="B252" s="244" t="s">
        <v>646</v>
      </c>
      <c r="C252" s="245"/>
      <c r="D252" s="245"/>
      <c r="E252" s="306">
        <f>3.56+3.26+3</f>
        <v>9.82</v>
      </c>
      <c r="F252" s="245"/>
      <c r="G252" s="245"/>
      <c r="H252" s="245"/>
      <c r="I252" s="245"/>
      <c r="J252" s="245"/>
      <c r="K252" s="245"/>
      <c r="L252" s="370"/>
    </row>
    <row r="253" spans="1:12" ht="31.5" x14ac:dyDescent="0.25">
      <c r="A253" s="609" t="s">
        <v>597</v>
      </c>
      <c r="B253" s="124" t="str">
        <f>'PLANILHA ORÇAMENTÁRIA'!D76</f>
        <v>Tubo PVC rígido para esgoto no diâmetro de 100mm incluindo escavação e aterro com areia</v>
      </c>
      <c r="C253" s="125" t="s">
        <v>52</v>
      </c>
      <c r="D253" s="126"/>
      <c r="E253" s="126">
        <f>SUM(E254:E255)</f>
        <v>25.78</v>
      </c>
      <c r="F253" s="126"/>
      <c r="G253" s="126"/>
      <c r="H253" s="126"/>
      <c r="I253" s="126"/>
      <c r="J253" s="126"/>
      <c r="K253" s="126"/>
      <c r="L253" s="546">
        <f>E253</f>
        <v>25.78</v>
      </c>
    </row>
    <row r="254" spans="1:12" x14ac:dyDescent="0.25">
      <c r="A254" s="613"/>
      <c r="B254" s="366" t="s">
        <v>243</v>
      </c>
      <c r="C254" s="367"/>
      <c r="D254" s="368"/>
      <c r="E254" s="368">
        <v>13.78</v>
      </c>
      <c r="F254" s="368"/>
      <c r="G254" s="368"/>
      <c r="H254" s="368"/>
      <c r="I254" s="368"/>
      <c r="J254" s="368"/>
      <c r="K254" s="368"/>
      <c r="L254" s="545"/>
    </row>
    <row r="255" spans="1:12" x14ac:dyDescent="0.25">
      <c r="A255" s="369"/>
      <c r="B255" s="244" t="s">
        <v>242</v>
      </c>
      <c r="C255" s="245"/>
      <c r="D255" s="245"/>
      <c r="E255" s="371">
        <v>12</v>
      </c>
      <c r="F255" s="245"/>
      <c r="G255" s="245"/>
      <c r="H255" s="245"/>
      <c r="I255" s="245"/>
      <c r="J255" s="245"/>
      <c r="K255" s="245"/>
      <c r="L255" s="370"/>
    </row>
    <row r="256" spans="1:12" x14ac:dyDescent="0.25">
      <c r="A256" s="614" t="s">
        <v>286</v>
      </c>
      <c r="B256" s="276" t="str">
        <f>'PLANILHA ORÇAMENTÁRIA'!D77</f>
        <v>INSTALAÇÕES ELÉTRICAS</v>
      </c>
      <c r="C256" s="179"/>
      <c r="D256" s="180"/>
      <c r="E256" s="180"/>
      <c r="F256" s="180"/>
      <c r="G256" s="180"/>
      <c r="H256" s="180"/>
      <c r="I256" s="180"/>
      <c r="J256" s="180"/>
      <c r="K256" s="180"/>
      <c r="L256" s="547"/>
    </row>
    <row r="257" spans="1:12" x14ac:dyDescent="0.25">
      <c r="A257" s="135" t="s">
        <v>287</v>
      </c>
      <c r="B257" s="117" t="str">
        <f>'PLANILHA ORÇAMENTÁRIA'!D78</f>
        <v xml:space="preserve">PONTOS ELÉTRICOS </v>
      </c>
      <c r="C257" s="116"/>
      <c r="D257" s="118"/>
      <c r="E257" s="118"/>
      <c r="F257" s="118"/>
      <c r="G257" s="118"/>
      <c r="H257" s="118"/>
      <c r="I257" s="118"/>
      <c r="J257" s="118"/>
      <c r="K257" s="118"/>
      <c r="L257" s="137"/>
    </row>
    <row r="258" spans="1:12" ht="47.25" x14ac:dyDescent="0.25">
      <c r="A258" s="609" t="s">
        <v>288</v>
      </c>
      <c r="B258" s="110" t="str">
        <f>'PLANILHA ORÇAMENTÁRIA'!D79</f>
        <v>Ponto padrão de tomada para ar refrigerado - considerando eletroduto PVC flexível corrugado de 3/4" inclusive conexões (6.0m), fio isolado PVC de 4.0mm2 (21.6m) e caixa estampada 4x2"</v>
      </c>
      <c r="C258" s="114" t="s">
        <v>104</v>
      </c>
      <c r="D258" s="115">
        <f>SUM(D259:D278)</f>
        <v>20</v>
      </c>
      <c r="E258" s="115"/>
      <c r="F258" s="115"/>
      <c r="G258" s="115"/>
      <c r="H258" s="115"/>
      <c r="I258" s="115"/>
      <c r="J258" s="115"/>
      <c r="K258" s="115"/>
      <c r="L258" s="542">
        <f>D258</f>
        <v>20</v>
      </c>
    </row>
    <row r="259" spans="1:12" x14ac:dyDescent="0.25">
      <c r="A259" s="615"/>
      <c r="B259" s="198" t="s">
        <v>244</v>
      </c>
      <c r="C259" s="199"/>
      <c r="D259" s="234">
        <v>1</v>
      </c>
      <c r="E259" s="199"/>
      <c r="F259" s="199"/>
      <c r="G259" s="199"/>
      <c r="H259" s="199"/>
      <c r="I259" s="199"/>
      <c r="J259" s="199"/>
      <c r="K259" s="199"/>
      <c r="L259" s="529"/>
    </row>
    <row r="260" spans="1:12" x14ac:dyDescent="0.25">
      <c r="A260" s="615"/>
      <c r="B260" s="198" t="s">
        <v>189</v>
      </c>
      <c r="C260" s="199"/>
      <c r="D260" s="234">
        <v>1</v>
      </c>
      <c r="E260" s="199"/>
      <c r="F260" s="199"/>
      <c r="G260" s="199"/>
      <c r="H260" s="199"/>
      <c r="I260" s="199"/>
      <c r="J260" s="199"/>
      <c r="K260" s="199"/>
      <c r="L260" s="529"/>
    </row>
    <row r="261" spans="1:12" x14ac:dyDescent="0.25">
      <c r="A261" s="615"/>
      <c r="B261" s="198" t="s">
        <v>245</v>
      </c>
      <c r="C261" s="199"/>
      <c r="D261" s="234">
        <v>1</v>
      </c>
      <c r="E261" s="199"/>
      <c r="F261" s="199"/>
      <c r="G261" s="199"/>
      <c r="H261" s="199"/>
      <c r="I261" s="199"/>
      <c r="J261" s="199"/>
      <c r="K261" s="199"/>
      <c r="L261" s="529"/>
    </row>
    <row r="262" spans="1:12" x14ac:dyDescent="0.25">
      <c r="A262" s="615"/>
      <c r="B262" s="198" t="s">
        <v>414</v>
      </c>
      <c r="C262" s="199"/>
      <c r="D262" s="234">
        <v>1</v>
      </c>
      <c r="E262" s="199"/>
      <c r="F262" s="199"/>
      <c r="G262" s="199"/>
      <c r="H262" s="199"/>
      <c r="I262" s="199"/>
      <c r="J262" s="199"/>
      <c r="K262" s="199"/>
      <c r="L262" s="529"/>
    </row>
    <row r="263" spans="1:12" x14ac:dyDescent="0.25">
      <c r="A263" s="615"/>
      <c r="B263" s="198" t="s">
        <v>247</v>
      </c>
      <c r="C263" s="199"/>
      <c r="D263" s="234">
        <v>1</v>
      </c>
      <c r="E263" s="199"/>
      <c r="F263" s="199"/>
      <c r="G263" s="199"/>
      <c r="H263" s="199"/>
      <c r="I263" s="199"/>
      <c r="J263" s="199"/>
      <c r="K263" s="199"/>
      <c r="L263" s="529"/>
    </row>
    <row r="264" spans="1:12" x14ac:dyDescent="0.25">
      <c r="A264" s="615"/>
      <c r="B264" s="198" t="s">
        <v>409</v>
      </c>
      <c r="C264" s="199"/>
      <c r="D264" s="234">
        <v>1</v>
      </c>
      <c r="E264" s="199"/>
      <c r="F264" s="199"/>
      <c r="G264" s="199"/>
      <c r="H264" s="199"/>
      <c r="I264" s="199"/>
      <c r="J264" s="199"/>
      <c r="K264" s="199"/>
      <c r="L264" s="529"/>
    </row>
    <row r="265" spans="1:12" x14ac:dyDescent="0.25">
      <c r="A265" s="615"/>
      <c r="B265" s="198" t="s">
        <v>410</v>
      </c>
      <c r="C265" s="199"/>
      <c r="D265" s="234">
        <v>1</v>
      </c>
      <c r="E265" s="199"/>
      <c r="F265" s="199"/>
      <c r="G265" s="199"/>
      <c r="H265" s="199"/>
      <c r="I265" s="199"/>
      <c r="J265" s="199"/>
      <c r="K265" s="199"/>
      <c r="L265" s="529"/>
    </row>
    <row r="266" spans="1:12" x14ac:dyDescent="0.25">
      <c r="A266" s="615"/>
      <c r="B266" s="198" t="s">
        <v>248</v>
      </c>
      <c r="C266" s="199"/>
      <c r="D266" s="234">
        <v>1</v>
      </c>
      <c r="E266" s="199"/>
      <c r="F266" s="199"/>
      <c r="G266" s="199"/>
      <c r="H266" s="199"/>
      <c r="I266" s="199"/>
      <c r="J266" s="199"/>
      <c r="K266" s="199"/>
      <c r="L266" s="529"/>
    </row>
    <row r="267" spans="1:12" x14ac:dyDescent="0.25">
      <c r="A267" s="615"/>
      <c r="B267" s="198" t="s">
        <v>249</v>
      </c>
      <c r="C267" s="199"/>
      <c r="D267" s="234">
        <v>1</v>
      </c>
      <c r="E267" s="199"/>
      <c r="F267" s="199"/>
      <c r="G267" s="199"/>
      <c r="H267" s="199"/>
      <c r="I267" s="199"/>
      <c r="J267" s="199"/>
      <c r="K267" s="199"/>
      <c r="L267" s="529"/>
    </row>
    <row r="268" spans="1:12" x14ac:dyDescent="0.25">
      <c r="A268" s="615"/>
      <c r="B268" s="198" t="s">
        <v>191</v>
      </c>
      <c r="C268" s="199"/>
      <c r="D268" s="234">
        <v>1</v>
      </c>
      <c r="E268" s="199"/>
      <c r="F268" s="199"/>
      <c r="G268" s="199"/>
      <c r="H268" s="199"/>
      <c r="I268" s="199"/>
      <c r="J268" s="199"/>
      <c r="K268" s="199"/>
      <c r="L268" s="529"/>
    </row>
    <row r="269" spans="1:12" x14ac:dyDescent="0.25">
      <c r="A269" s="615"/>
      <c r="B269" s="198" t="s">
        <v>192</v>
      </c>
      <c r="C269" s="199"/>
      <c r="D269" s="234">
        <v>1</v>
      </c>
      <c r="E269" s="199"/>
      <c r="F269" s="199"/>
      <c r="G269" s="199"/>
      <c r="H269" s="199"/>
      <c r="I269" s="199"/>
      <c r="J269" s="199"/>
      <c r="K269" s="199"/>
      <c r="L269" s="529"/>
    </row>
    <row r="270" spans="1:12" x14ac:dyDescent="0.25">
      <c r="A270" s="615"/>
      <c r="B270" s="198" t="s">
        <v>193</v>
      </c>
      <c r="C270" s="199"/>
      <c r="D270" s="234">
        <v>1</v>
      </c>
      <c r="E270" s="199"/>
      <c r="F270" s="199"/>
      <c r="G270" s="199"/>
      <c r="H270" s="199"/>
      <c r="I270" s="199"/>
      <c r="J270" s="199"/>
      <c r="K270" s="199"/>
      <c r="L270" s="529"/>
    </row>
    <row r="271" spans="1:12" x14ac:dyDescent="0.25">
      <c r="A271" s="615"/>
      <c r="B271" s="198" t="s">
        <v>250</v>
      </c>
      <c r="C271" s="199"/>
      <c r="D271" s="234">
        <v>1</v>
      </c>
      <c r="E271" s="199"/>
      <c r="F271" s="199"/>
      <c r="G271" s="199"/>
      <c r="H271" s="199"/>
      <c r="I271" s="199"/>
      <c r="J271" s="199"/>
      <c r="K271" s="199"/>
      <c r="L271" s="529"/>
    </row>
    <row r="272" spans="1:12" x14ac:dyDescent="0.25">
      <c r="A272" s="615"/>
      <c r="B272" s="198" t="s">
        <v>196</v>
      </c>
      <c r="C272" s="199"/>
      <c r="D272" s="234">
        <v>1</v>
      </c>
      <c r="E272" s="199"/>
      <c r="F272" s="199"/>
      <c r="G272" s="199"/>
      <c r="H272" s="199"/>
      <c r="I272" s="199"/>
      <c r="J272" s="199"/>
      <c r="K272" s="199"/>
      <c r="L272" s="529"/>
    </row>
    <row r="273" spans="1:12" x14ac:dyDescent="0.25">
      <c r="A273" s="615"/>
      <c r="B273" s="198" t="s">
        <v>197</v>
      </c>
      <c r="C273" s="199"/>
      <c r="D273" s="234">
        <v>1</v>
      </c>
      <c r="E273" s="199"/>
      <c r="F273" s="199"/>
      <c r="G273" s="199"/>
      <c r="H273" s="199"/>
      <c r="I273" s="199"/>
      <c r="J273" s="199"/>
      <c r="K273" s="199"/>
      <c r="L273" s="529"/>
    </row>
    <row r="274" spans="1:12" x14ac:dyDescent="0.25">
      <c r="A274" s="615"/>
      <c r="B274" s="198" t="s">
        <v>198</v>
      </c>
      <c r="C274" s="199"/>
      <c r="D274" s="234">
        <v>1</v>
      </c>
      <c r="E274" s="199"/>
      <c r="F274" s="199"/>
      <c r="G274" s="199"/>
      <c r="H274" s="199"/>
      <c r="I274" s="199"/>
      <c r="J274" s="199"/>
      <c r="K274" s="199"/>
      <c r="L274" s="529"/>
    </row>
    <row r="275" spans="1:12" x14ac:dyDescent="0.25">
      <c r="A275" s="615"/>
      <c r="B275" s="348" t="s">
        <v>236</v>
      </c>
      <c r="C275" s="349"/>
      <c r="D275" s="251">
        <v>1</v>
      </c>
      <c r="E275" s="349"/>
      <c r="F275" s="349"/>
      <c r="G275" s="349"/>
      <c r="H275" s="349"/>
      <c r="I275" s="349"/>
      <c r="J275" s="349"/>
      <c r="K275" s="349"/>
      <c r="L275" s="509"/>
    </row>
    <row r="276" spans="1:12" x14ac:dyDescent="0.25">
      <c r="A276" s="615"/>
      <c r="B276" s="198" t="s">
        <v>251</v>
      </c>
      <c r="C276" s="199"/>
      <c r="D276" s="234">
        <v>1</v>
      </c>
      <c r="E276" s="199"/>
      <c r="F276" s="199"/>
      <c r="G276" s="199"/>
      <c r="H276" s="199"/>
      <c r="I276" s="199"/>
      <c r="J276" s="199"/>
      <c r="K276" s="199"/>
      <c r="L276" s="529"/>
    </row>
    <row r="277" spans="1:12" x14ac:dyDescent="0.25">
      <c r="A277" s="615"/>
      <c r="B277" s="198" t="s">
        <v>194</v>
      </c>
      <c r="C277" s="199"/>
      <c r="D277" s="234">
        <v>1</v>
      </c>
      <c r="E277" s="199"/>
      <c r="F277" s="199"/>
      <c r="G277" s="199"/>
      <c r="H277" s="199"/>
      <c r="I277" s="199"/>
      <c r="J277" s="199"/>
      <c r="K277" s="199"/>
      <c r="L277" s="529"/>
    </row>
    <row r="278" spans="1:12" x14ac:dyDescent="0.25">
      <c r="A278" s="611"/>
      <c r="B278" s="244" t="s">
        <v>195</v>
      </c>
      <c r="C278" s="245"/>
      <c r="D278" s="246">
        <v>1</v>
      </c>
      <c r="E278" s="245"/>
      <c r="F278" s="245"/>
      <c r="G278" s="245"/>
      <c r="H278" s="245"/>
      <c r="I278" s="245"/>
      <c r="J278" s="245"/>
      <c r="K278" s="245"/>
      <c r="L278" s="370"/>
    </row>
    <row r="279" spans="1:12" ht="47.25" x14ac:dyDescent="0.25">
      <c r="A279" s="609" t="s">
        <v>289</v>
      </c>
      <c r="B279" s="110" t="str">
        <f>'PLANILHA ORÇAMENTÁRIA'!D80</f>
        <v>Ponto padrão de interruptor de 1 tecla - considerando eletroduto PVC flexível corrugado de 3/4", inclusive conexões, fio isolado PVC de 2.5mm² e caixa estampada 4x2", exclusive interruptor</v>
      </c>
      <c r="C279" s="134" t="s">
        <v>104</v>
      </c>
      <c r="D279" s="115">
        <f>SUM(D280:D295)</f>
        <v>16</v>
      </c>
      <c r="E279" s="115"/>
      <c r="F279" s="115"/>
      <c r="G279" s="115"/>
      <c r="H279" s="115"/>
      <c r="I279" s="115"/>
      <c r="J279" s="115"/>
      <c r="K279" s="115"/>
      <c r="L279" s="542">
        <f>D279</f>
        <v>16</v>
      </c>
    </row>
    <row r="280" spans="1:12" x14ac:dyDescent="0.25">
      <c r="A280" s="615"/>
      <c r="B280" s="198" t="s">
        <v>189</v>
      </c>
      <c r="C280" s="199"/>
      <c r="D280" s="234">
        <v>1</v>
      </c>
      <c r="E280" s="199"/>
      <c r="F280" s="199"/>
      <c r="G280" s="199"/>
      <c r="H280" s="199"/>
      <c r="I280" s="199"/>
      <c r="J280" s="199"/>
      <c r="K280" s="199"/>
      <c r="L280" s="529"/>
    </row>
    <row r="281" spans="1:12" x14ac:dyDescent="0.25">
      <c r="A281" s="615"/>
      <c r="B281" s="182" t="s">
        <v>378</v>
      </c>
      <c r="C281" s="183"/>
      <c r="D281" s="234">
        <v>1</v>
      </c>
      <c r="E281" s="183"/>
      <c r="F281" s="183"/>
      <c r="G281" s="183"/>
      <c r="H281" s="183"/>
      <c r="I281" s="183"/>
      <c r="J281" s="183"/>
      <c r="K281" s="183"/>
      <c r="L281" s="534"/>
    </row>
    <row r="282" spans="1:12" x14ac:dyDescent="0.25">
      <c r="A282" s="615"/>
      <c r="B282" s="182" t="s">
        <v>190</v>
      </c>
      <c r="C282" s="183"/>
      <c r="D282" s="234">
        <v>1</v>
      </c>
      <c r="E282" s="183"/>
      <c r="F282" s="183"/>
      <c r="G282" s="183"/>
      <c r="H282" s="183"/>
      <c r="I282" s="183"/>
      <c r="J282" s="183"/>
      <c r="K282" s="183"/>
      <c r="L282" s="534"/>
    </row>
    <row r="283" spans="1:12" x14ac:dyDescent="0.25">
      <c r="A283" s="615"/>
      <c r="B283" s="182" t="s">
        <v>374</v>
      </c>
      <c r="C283" s="183"/>
      <c r="D283" s="234">
        <v>1</v>
      </c>
      <c r="E283" s="183"/>
      <c r="F283" s="183"/>
      <c r="G283" s="183"/>
      <c r="H283" s="183"/>
      <c r="I283" s="183"/>
      <c r="J283" s="183"/>
      <c r="K283" s="183"/>
      <c r="L283" s="534"/>
    </row>
    <row r="284" spans="1:12" x14ac:dyDescent="0.25">
      <c r="A284" s="615"/>
      <c r="B284" s="182" t="s">
        <v>375</v>
      </c>
      <c r="C284" s="183"/>
      <c r="D284" s="234">
        <v>1</v>
      </c>
      <c r="E284" s="183"/>
      <c r="F284" s="183"/>
      <c r="G284" s="183"/>
      <c r="H284" s="183"/>
      <c r="I284" s="183"/>
      <c r="J284" s="183"/>
      <c r="K284" s="183"/>
      <c r="L284" s="534"/>
    </row>
    <row r="285" spans="1:12" x14ac:dyDescent="0.25">
      <c r="A285" s="615"/>
      <c r="B285" s="182" t="s">
        <v>409</v>
      </c>
      <c r="C285" s="183"/>
      <c r="D285" s="234">
        <v>1</v>
      </c>
      <c r="E285" s="183"/>
      <c r="F285" s="183"/>
      <c r="G285" s="183"/>
      <c r="H285" s="183"/>
      <c r="I285" s="183"/>
      <c r="J285" s="183"/>
      <c r="K285" s="183"/>
      <c r="L285" s="534"/>
    </row>
    <row r="286" spans="1:12" x14ac:dyDescent="0.25">
      <c r="A286" s="615"/>
      <c r="B286" s="182" t="s">
        <v>248</v>
      </c>
      <c r="C286" s="183"/>
      <c r="D286" s="234">
        <v>1</v>
      </c>
      <c r="E286" s="183"/>
      <c r="F286" s="183"/>
      <c r="G286" s="183"/>
      <c r="H286" s="183"/>
      <c r="I286" s="183"/>
      <c r="J286" s="183"/>
      <c r="K286" s="183"/>
      <c r="L286" s="534"/>
    </row>
    <row r="287" spans="1:12" x14ac:dyDescent="0.25">
      <c r="A287" s="615"/>
      <c r="B287" s="182" t="s">
        <v>376</v>
      </c>
      <c r="C287" s="183"/>
      <c r="D287" s="234">
        <v>1</v>
      </c>
      <c r="E287" s="183"/>
      <c r="F287" s="183"/>
      <c r="G287" s="183"/>
      <c r="H287" s="183"/>
      <c r="I287" s="183"/>
      <c r="J287" s="183"/>
      <c r="K287" s="183"/>
      <c r="L287" s="534"/>
    </row>
    <row r="288" spans="1:12" x14ac:dyDescent="0.25">
      <c r="A288" s="615"/>
      <c r="B288" s="182" t="s">
        <v>191</v>
      </c>
      <c r="C288" s="183"/>
      <c r="D288" s="234">
        <v>1</v>
      </c>
      <c r="E288" s="183"/>
      <c r="F288" s="183"/>
      <c r="G288" s="183"/>
      <c r="H288" s="183"/>
      <c r="I288" s="183"/>
      <c r="J288" s="183"/>
      <c r="K288" s="183"/>
      <c r="L288" s="534"/>
    </row>
    <row r="289" spans="1:12" x14ac:dyDescent="0.25">
      <c r="A289" s="615"/>
      <c r="B289" s="182" t="s">
        <v>192</v>
      </c>
      <c r="C289" s="183"/>
      <c r="D289" s="234">
        <v>1</v>
      </c>
      <c r="E289" s="183"/>
      <c r="F289" s="183"/>
      <c r="G289" s="183"/>
      <c r="H289" s="183"/>
      <c r="I289" s="183"/>
      <c r="J289" s="183"/>
      <c r="K289" s="183"/>
      <c r="L289" s="534"/>
    </row>
    <row r="290" spans="1:12" x14ac:dyDescent="0.25">
      <c r="A290" s="615"/>
      <c r="B290" s="182" t="s">
        <v>193</v>
      </c>
      <c r="C290" s="183"/>
      <c r="D290" s="234">
        <v>1</v>
      </c>
      <c r="E290" s="183"/>
      <c r="F290" s="183"/>
      <c r="G290" s="183"/>
      <c r="H290" s="183"/>
      <c r="I290" s="183"/>
      <c r="J290" s="183"/>
      <c r="K290" s="183"/>
      <c r="L290" s="534"/>
    </row>
    <row r="291" spans="1:12" x14ac:dyDescent="0.25">
      <c r="A291" s="615"/>
      <c r="B291" s="182" t="s">
        <v>377</v>
      </c>
      <c r="C291" s="183"/>
      <c r="D291" s="234">
        <v>1</v>
      </c>
      <c r="E291" s="183"/>
      <c r="F291" s="183"/>
      <c r="G291" s="183"/>
      <c r="H291" s="183"/>
      <c r="I291" s="183"/>
      <c r="J291" s="183"/>
      <c r="K291" s="183"/>
      <c r="L291" s="534"/>
    </row>
    <row r="292" spans="1:12" x14ac:dyDescent="0.25">
      <c r="A292" s="615"/>
      <c r="B292" s="182" t="s">
        <v>194</v>
      </c>
      <c r="C292" s="183"/>
      <c r="D292" s="234">
        <v>1</v>
      </c>
      <c r="E292" s="183"/>
      <c r="F292" s="183"/>
      <c r="G292" s="183"/>
      <c r="H292" s="183"/>
      <c r="I292" s="183"/>
      <c r="J292" s="183"/>
      <c r="K292" s="183"/>
      <c r="L292" s="534"/>
    </row>
    <row r="293" spans="1:12" x14ac:dyDescent="0.25">
      <c r="A293" s="615"/>
      <c r="B293" s="182" t="s">
        <v>195</v>
      </c>
      <c r="C293" s="183"/>
      <c r="D293" s="234">
        <v>1</v>
      </c>
      <c r="E293" s="183"/>
      <c r="F293" s="183"/>
      <c r="G293" s="183"/>
      <c r="H293" s="183"/>
      <c r="I293" s="183"/>
      <c r="J293" s="183"/>
      <c r="K293" s="183"/>
      <c r="L293" s="534"/>
    </row>
    <row r="294" spans="1:12" x14ac:dyDescent="0.25">
      <c r="A294" s="615"/>
      <c r="B294" s="182" t="s">
        <v>197</v>
      </c>
      <c r="C294" s="183"/>
      <c r="D294" s="234">
        <v>1</v>
      </c>
      <c r="E294" s="183"/>
      <c r="F294" s="183"/>
      <c r="G294" s="183"/>
      <c r="H294" s="183"/>
      <c r="I294" s="183"/>
      <c r="J294" s="183"/>
      <c r="K294" s="183"/>
      <c r="L294" s="534"/>
    </row>
    <row r="295" spans="1:12" x14ac:dyDescent="0.25">
      <c r="A295" s="611"/>
      <c r="B295" s="346" t="s">
        <v>198</v>
      </c>
      <c r="C295" s="347"/>
      <c r="D295" s="246">
        <v>1</v>
      </c>
      <c r="E295" s="347"/>
      <c r="F295" s="347"/>
      <c r="G295" s="347"/>
      <c r="H295" s="347"/>
      <c r="I295" s="347"/>
      <c r="J295" s="347"/>
      <c r="K295" s="347"/>
      <c r="L295" s="541"/>
    </row>
    <row r="296" spans="1:12" ht="31.5" x14ac:dyDescent="0.25">
      <c r="A296" s="609" t="s">
        <v>290</v>
      </c>
      <c r="B296" s="110" t="str">
        <f>'PLANILHA ORÇAMENTÁRIA'!D81</f>
        <v xml:space="preserve">Ponto de tomada residencial, incluindo tomada (2 módulos) 10A, caixa elétrica, eletroduto flexível, cabo, rasco, quebra e chumbamento </v>
      </c>
      <c r="C296" s="134" t="s">
        <v>104</v>
      </c>
      <c r="D296" s="115">
        <f>SUM(D297:D313)</f>
        <v>47</v>
      </c>
      <c r="E296" s="115"/>
      <c r="F296" s="115"/>
      <c r="G296" s="115"/>
      <c r="H296" s="115"/>
      <c r="I296" s="115"/>
      <c r="J296" s="115"/>
      <c r="K296" s="115"/>
      <c r="L296" s="542">
        <f>D296</f>
        <v>47</v>
      </c>
    </row>
    <row r="297" spans="1:12" x14ac:dyDescent="0.25">
      <c r="A297" s="615"/>
      <c r="B297" s="198" t="s">
        <v>244</v>
      </c>
      <c r="C297" s="199"/>
      <c r="D297" s="234">
        <v>2</v>
      </c>
      <c r="E297" s="199"/>
      <c r="F297" s="199"/>
      <c r="G297" s="199"/>
      <c r="H297" s="199"/>
      <c r="I297" s="199"/>
      <c r="J297" s="199"/>
      <c r="K297" s="199"/>
      <c r="L297" s="529"/>
    </row>
    <row r="298" spans="1:12" x14ac:dyDescent="0.25">
      <c r="A298" s="615"/>
      <c r="B298" s="182" t="s">
        <v>189</v>
      </c>
      <c r="C298" s="183"/>
      <c r="D298" s="234">
        <v>3</v>
      </c>
      <c r="E298" s="183"/>
      <c r="F298" s="183"/>
      <c r="G298" s="183"/>
      <c r="H298" s="183"/>
      <c r="I298" s="183"/>
      <c r="J298" s="183"/>
      <c r="K298" s="183"/>
      <c r="L298" s="534"/>
    </row>
    <row r="299" spans="1:12" x14ac:dyDescent="0.25">
      <c r="A299" s="615"/>
      <c r="B299" s="182" t="s">
        <v>190</v>
      </c>
      <c r="C299" s="183"/>
      <c r="D299" s="234">
        <v>3</v>
      </c>
      <c r="E299" s="183"/>
      <c r="F299" s="183"/>
      <c r="G299" s="183"/>
      <c r="H299" s="183"/>
      <c r="I299" s="183"/>
      <c r="J299" s="183"/>
      <c r="K299" s="183"/>
      <c r="L299" s="534"/>
    </row>
    <row r="300" spans="1:12" x14ac:dyDescent="0.25">
      <c r="A300" s="615"/>
      <c r="B300" s="198" t="s">
        <v>409</v>
      </c>
      <c r="C300" s="199"/>
      <c r="D300" s="234">
        <v>4</v>
      </c>
      <c r="E300" s="199"/>
      <c r="F300" s="199"/>
      <c r="G300" s="199"/>
      <c r="H300" s="199"/>
      <c r="I300" s="199"/>
      <c r="J300" s="199"/>
      <c r="K300" s="199"/>
      <c r="L300" s="529"/>
    </row>
    <row r="301" spans="1:12" x14ac:dyDescent="0.25">
      <c r="A301" s="615"/>
      <c r="B301" s="182" t="s">
        <v>248</v>
      </c>
      <c r="C301" s="183"/>
      <c r="D301" s="234">
        <v>2</v>
      </c>
      <c r="E301" s="183"/>
      <c r="F301" s="183"/>
      <c r="G301" s="183"/>
      <c r="H301" s="183"/>
      <c r="I301" s="183"/>
      <c r="J301" s="183"/>
      <c r="K301" s="183"/>
      <c r="L301" s="534"/>
    </row>
    <row r="302" spans="1:12" x14ac:dyDescent="0.25">
      <c r="A302" s="615"/>
      <c r="B302" s="182" t="s">
        <v>249</v>
      </c>
      <c r="C302" s="183"/>
      <c r="D302" s="234">
        <v>2</v>
      </c>
      <c r="E302" s="183"/>
      <c r="F302" s="183"/>
      <c r="G302" s="183"/>
      <c r="H302" s="183"/>
      <c r="I302" s="183"/>
      <c r="J302" s="183"/>
      <c r="K302" s="183"/>
      <c r="L302" s="534"/>
    </row>
    <row r="303" spans="1:12" x14ac:dyDescent="0.25">
      <c r="A303" s="615"/>
      <c r="B303" s="182" t="s">
        <v>191</v>
      </c>
      <c r="C303" s="183"/>
      <c r="D303" s="234">
        <v>2</v>
      </c>
      <c r="E303" s="183"/>
      <c r="F303" s="183"/>
      <c r="G303" s="183"/>
      <c r="H303" s="183"/>
      <c r="I303" s="183"/>
      <c r="J303" s="183"/>
      <c r="K303" s="183"/>
      <c r="L303" s="534"/>
    </row>
    <row r="304" spans="1:12" x14ac:dyDescent="0.25">
      <c r="A304" s="615"/>
      <c r="B304" s="182" t="s">
        <v>192</v>
      </c>
      <c r="C304" s="183"/>
      <c r="D304" s="234">
        <v>2</v>
      </c>
      <c r="E304" s="183"/>
      <c r="F304" s="183"/>
      <c r="G304" s="183"/>
      <c r="H304" s="183"/>
      <c r="I304" s="183"/>
      <c r="J304" s="183"/>
      <c r="K304" s="183"/>
      <c r="L304" s="534"/>
    </row>
    <row r="305" spans="1:12" x14ac:dyDescent="0.25">
      <c r="A305" s="615"/>
      <c r="B305" s="182" t="s">
        <v>524</v>
      </c>
      <c r="C305" s="183"/>
      <c r="D305" s="234">
        <v>3</v>
      </c>
      <c r="E305" s="183"/>
      <c r="F305" s="183"/>
      <c r="G305" s="183"/>
      <c r="H305" s="183"/>
      <c r="I305" s="183"/>
      <c r="J305" s="183"/>
      <c r="K305" s="183"/>
      <c r="L305" s="534"/>
    </row>
    <row r="306" spans="1:12" x14ac:dyDescent="0.25">
      <c r="A306" s="615"/>
      <c r="B306" s="182" t="s">
        <v>250</v>
      </c>
      <c r="C306" s="183"/>
      <c r="D306" s="234">
        <v>3</v>
      </c>
      <c r="E306" s="183"/>
      <c r="F306" s="183"/>
      <c r="G306" s="183"/>
      <c r="H306" s="183"/>
      <c r="I306" s="183"/>
      <c r="J306" s="183"/>
      <c r="K306" s="183"/>
      <c r="L306" s="534"/>
    </row>
    <row r="307" spans="1:12" x14ac:dyDescent="0.25">
      <c r="A307" s="615"/>
      <c r="B307" s="182" t="s">
        <v>194</v>
      </c>
      <c r="C307" s="183"/>
      <c r="D307" s="234">
        <v>2</v>
      </c>
      <c r="E307" s="183"/>
      <c r="F307" s="183"/>
      <c r="G307" s="183"/>
      <c r="H307" s="183"/>
      <c r="I307" s="183"/>
      <c r="J307" s="183"/>
      <c r="K307" s="183"/>
      <c r="L307" s="534"/>
    </row>
    <row r="308" spans="1:12" x14ac:dyDescent="0.25">
      <c r="A308" s="615"/>
      <c r="B308" s="182" t="s">
        <v>195</v>
      </c>
      <c r="C308" s="183"/>
      <c r="D308" s="234">
        <v>2</v>
      </c>
      <c r="E308" s="183"/>
      <c r="F308" s="183"/>
      <c r="G308" s="183"/>
      <c r="H308" s="183"/>
      <c r="I308" s="183"/>
      <c r="J308" s="183"/>
      <c r="K308" s="183"/>
      <c r="L308" s="534"/>
    </row>
    <row r="309" spans="1:12" x14ac:dyDescent="0.25">
      <c r="A309" s="615"/>
      <c r="B309" s="182" t="s">
        <v>196</v>
      </c>
      <c r="C309" s="183"/>
      <c r="D309" s="234">
        <v>1</v>
      </c>
      <c r="E309" s="183"/>
      <c r="F309" s="183"/>
      <c r="G309" s="183"/>
      <c r="H309" s="183"/>
      <c r="I309" s="183"/>
      <c r="J309" s="183"/>
      <c r="K309" s="183"/>
      <c r="L309" s="534"/>
    </row>
    <row r="310" spans="1:12" x14ac:dyDescent="0.25">
      <c r="A310" s="615"/>
      <c r="B310" s="182" t="s">
        <v>197</v>
      </c>
      <c r="C310" s="183"/>
      <c r="D310" s="234">
        <v>1</v>
      </c>
      <c r="E310" s="183"/>
      <c r="F310" s="183"/>
      <c r="G310" s="183"/>
      <c r="H310" s="183"/>
      <c r="I310" s="183"/>
      <c r="J310" s="183"/>
      <c r="K310" s="183"/>
      <c r="L310" s="534"/>
    </row>
    <row r="311" spans="1:12" x14ac:dyDescent="0.25">
      <c r="A311" s="615"/>
      <c r="B311" s="198" t="s">
        <v>387</v>
      </c>
      <c r="C311" s="199"/>
      <c r="D311" s="234">
        <v>1</v>
      </c>
      <c r="E311" s="199"/>
      <c r="F311" s="199"/>
      <c r="G311" s="199"/>
      <c r="H311" s="199"/>
      <c r="I311" s="199"/>
      <c r="J311" s="199"/>
      <c r="K311" s="199"/>
      <c r="L311" s="529"/>
    </row>
    <row r="312" spans="1:12" x14ac:dyDescent="0.25">
      <c r="A312" s="616"/>
      <c r="B312" s="159" t="s">
        <v>236</v>
      </c>
      <c r="C312" s="160"/>
      <c r="D312" s="255">
        <v>7</v>
      </c>
      <c r="E312" s="160"/>
      <c r="F312" s="160"/>
      <c r="G312" s="160"/>
      <c r="H312" s="160"/>
      <c r="I312" s="160"/>
      <c r="J312" s="160"/>
      <c r="K312" s="160"/>
      <c r="L312" s="543"/>
    </row>
    <row r="313" spans="1:12" x14ac:dyDescent="0.25">
      <c r="A313" s="616"/>
      <c r="B313" s="159" t="s">
        <v>525</v>
      </c>
      <c r="C313" s="160"/>
      <c r="D313" s="255">
        <v>7</v>
      </c>
      <c r="E313" s="160"/>
      <c r="F313" s="160"/>
      <c r="G313" s="160"/>
      <c r="H313" s="160"/>
      <c r="I313" s="160"/>
      <c r="J313" s="160"/>
      <c r="K313" s="160"/>
      <c r="L313" s="543"/>
    </row>
    <row r="314" spans="1:12" x14ac:dyDescent="0.25">
      <c r="A314" s="135" t="s">
        <v>291</v>
      </c>
      <c r="B314" s="117" t="str">
        <f>'PLANILHA ORÇAMENTÁRIA'!D82</f>
        <v>TUBOS E CONDUTORES</v>
      </c>
      <c r="C314" s="136"/>
      <c r="D314" s="256" t="s">
        <v>435</v>
      </c>
      <c r="E314" s="118"/>
      <c r="F314" s="118"/>
      <c r="G314" s="118"/>
      <c r="H314" s="118"/>
      <c r="I314" s="118"/>
      <c r="J314" s="118"/>
      <c r="K314" s="118"/>
      <c r="L314" s="137"/>
    </row>
    <row r="315" spans="1:12" x14ac:dyDescent="0.25">
      <c r="A315" s="617" t="s">
        <v>292</v>
      </c>
      <c r="B315" s="189" t="str">
        <f>'PLANILHA ORÇAMENTÁRIA'!D83</f>
        <v>Patch panel 48 portas, categoria 6 - fornecimento e instalação</v>
      </c>
      <c r="C315" s="190" t="s">
        <v>56</v>
      </c>
      <c r="D315" s="191">
        <v>1</v>
      </c>
      <c r="E315" s="191"/>
      <c r="F315" s="191"/>
      <c r="G315" s="191"/>
      <c r="H315" s="191"/>
      <c r="I315" s="191"/>
      <c r="J315" s="191"/>
      <c r="K315" s="191"/>
      <c r="L315" s="548">
        <f>D315</f>
        <v>1</v>
      </c>
    </row>
    <row r="316" spans="1:12" x14ac:dyDescent="0.25">
      <c r="A316" s="617" t="s">
        <v>293</v>
      </c>
      <c r="B316" s="192" t="str">
        <f>'PLANILHA ORÇAMENTÁRIA'!D84</f>
        <v>Cabo eletrônico, categoria 5E - fornecimento e instalação</v>
      </c>
      <c r="C316" s="190" t="s">
        <v>52</v>
      </c>
      <c r="D316" s="257"/>
      <c r="E316" s="191">
        <v>68.64</v>
      </c>
      <c r="F316" s="191"/>
      <c r="G316" s="191"/>
      <c r="H316" s="191"/>
      <c r="I316" s="191"/>
      <c r="J316" s="191"/>
      <c r="K316" s="191"/>
      <c r="L316" s="548">
        <f>E316</f>
        <v>68.64</v>
      </c>
    </row>
    <row r="317" spans="1:12" ht="31.5" x14ac:dyDescent="0.25">
      <c r="A317" s="617" t="s">
        <v>609</v>
      </c>
      <c r="B317" s="192" t="str">
        <f>'PLANILHA ORÇAMENTÁRIA'!D85</f>
        <v>Eletroduto aparente de PVC rígido roscável diâmetro 3/4", inclusive abraçadeira de fixação</v>
      </c>
      <c r="C317" s="190" t="s">
        <v>52</v>
      </c>
      <c r="D317" s="257">
        <v>4</v>
      </c>
      <c r="E317" s="191">
        <v>68.64</v>
      </c>
      <c r="F317" s="191"/>
      <c r="G317" s="191"/>
      <c r="H317" s="191"/>
      <c r="I317" s="191"/>
      <c r="J317" s="191"/>
      <c r="K317" s="191"/>
      <c r="L317" s="548">
        <f>E317</f>
        <v>68.64</v>
      </c>
    </row>
    <row r="318" spans="1:12" x14ac:dyDescent="0.25">
      <c r="A318" s="609" t="s">
        <v>610</v>
      </c>
      <c r="B318" s="110" t="str">
        <f>'PLANILHA ORÇAMENTÁRIA'!D86</f>
        <v>Caixa de passagem 4x2", chapa 18</v>
      </c>
      <c r="C318" s="134" t="s">
        <v>56</v>
      </c>
      <c r="D318" s="115">
        <f>SUM(D319:D335)</f>
        <v>56</v>
      </c>
      <c r="E318" s="115"/>
      <c r="F318" s="115"/>
      <c r="G318" s="115"/>
      <c r="H318" s="115"/>
      <c r="I318" s="115"/>
      <c r="J318" s="115"/>
      <c r="K318" s="115"/>
      <c r="L318" s="542">
        <f>D318</f>
        <v>56</v>
      </c>
    </row>
    <row r="319" spans="1:12" x14ac:dyDescent="0.25">
      <c r="A319" s="615"/>
      <c r="B319" s="198" t="s">
        <v>244</v>
      </c>
      <c r="C319" s="199"/>
      <c r="D319" s="234">
        <v>2</v>
      </c>
      <c r="E319" s="199"/>
      <c r="F319" s="199"/>
      <c r="G319" s="199"/>
      <c r="H319" s="199"/>
      <c r="I319" s="199"/>
      <c r="J319" s="199"/>
      <c r="K319" s="199"/>
      <c r="L319" s="529"/>
    </row>
    <row r="320" spans="1:12" x14ac:dyDescent="0.25">
      <c r="A320" s="615"/>
      <c r="B320" s="182" t="s">
        <v>189</v>
      </c>
      <c r="C320" s="183"/>
      <c r="D320" s="234">
        <v>2</v>
      </c>
      <c r="E320" s="183"/>
      <c r="F320" s="183"/>
      <c r="G320" s="183"/>
      <c r="H320" s="183"/>
      <c r="I320" s="183"/>
      <c r="J320" s="183"/>
      <c r="K320" s="183"/>
      <c r="L320" s="534"/>
    </row>
    <row r="321" spans="1:12" x14ac:dyDescent="0.25">
      <c r="A321" s="615"/>
      <c r="B321" s="182" t="s">
        <v>190</v>
      </c>
      <c r="C321" s="183"/>
      <c r="D321" s="234">
        <v>3</v>
      </c>
      <c r="E321" s="183"/>
      <c r="F321" s="183"/>
      <c r="G321" s="183"/>
      <c r="H321" s="183"/>
      <c r="I321" s="183"/>
      <c r="J321" s="183"/>
      <c r="K321" s="183"/>
      <c r="L321" s="534"/>
    </row>
    <row r="322" spans="1:12" x14ac:dyDescent="0.25">
      <c r="A322" s="615"/>
      <c r="B322" s="198" t="s">
        <v>414</v>
      </c>
      <c r="C322" s="199"/>
      <c r="D322" s="234">
        <v>3</v>
      </c>
      <c r="E322" s="199"/>
      <c r="F322" s="199"/>
      <c r="G322" s="199"/>
      <c r="H322" s="199"/>
      <c r="I322" s="199"/>
      <c r="J322" s="199"/>
      <c r="K322" s="199"/>
      <c r="L322" s="529"/>
    </row>
    <row r="323" spans="1:12" x14ac:dyDescent="0.25">
      <c r="A323" s="615"/>
      <c r="B323" s="182" t="s">
        <v>409</v>
      </c>
      <c r="C323" s="183"/>
      <c r="D323" s="234">
        <v>4</v>
      </c>
      <c r="E323" s="183"/>
      <c r="F323" s="183"/>
      <c r="G323" s="183"/>
      <c r="H323" s="183"/>
      <c r="I323" s="183"/>
      <c r="J323" s="183"/>
      <c r="K323" s="183"/>
      <c r="L323" s="534"/>
    </row>
    <row r="324" spans="1:12" x14ac:dyDescent="0.25">
      <c r="A324" s="615"/>
      <c r="B324" s="182" t="s">
        <v>389</v>
      </c>
      <c r="C324" s="183"/>
      <c r="D324" s="234">
        <v>2</v>
      </c>
      <c r="E324" s="183"/>
      <c r="F324" s="183"/>
      <c r="G324" s="183"/>
      <c r="H324" s="183"/>
      <c r="I324" s="183"/>
      <c r="J324" s="183"/>
      <c r="K324" s="183"/>
      <c r="L324" s="534"/>
    </row>
    <row r="325" spans="1:12" x14ac:dyDescent="0.25">
      <c r="A325" s="615"/>
      <c r="B325" s="182" t="s">
        <v>248</v>
      </c>
      <c r="C325" s="183"/>
      <c r="D325" s="234">
        <v>2</v>
      </c>
      <c r="E325" s="183"/>
      <c r="F325" s="183"/>
      <c r="G325" s="183"/>
      <c r="H325" s="183"/>
      <c r="I325" s="183"/>
      <c r="J325" s="183"/>
      <c r="K325" s="183"/>
      <c r="L325" s="534"/>
    </row>
    <row r="326" spans="1:12" x14ac:dyDescent="0.25">
      <c r="A326" s="615"/>
      <c r="B326" s="182" t="s">
        <v>249</v>
      </c>
      <c r="C326" s="183"/>
      <c r="D326" s="234">
        <v>2</v>
      </c>
      <c r="E326" s="183"/>
      <c r="F326" s="183"/>
      <c r="G326" s="183"/>
      <c r="H326" s="183"/>
      <c r="I326" s="183"/>
      <c r="J326" s="183"/>
      <c r="K326" s="183"/>
      <c r="L326" s="534"/>
    </row>
    <row r="327" spans="1:12" x14ac:dyDescent="0.25">
      <c r="A327" s="615"/>
      <c r="B327" s="182" t="s">
        <v>191</v>
      </c>
      <c r="C327" s="183"/>
      <c r="D327" s="234">
        <v>2</v>
      </c>
      <c r="E327" s="183"/>
      <c r="F327" s="183"/>
      <c r="G327" s="183"/>
      <c r="H327" s="183"/>
      <c r="I327" s="183"/>
      <c r="J327" s="183"/>
      <c r="K327" s="183"/>
      <c r="L327" s="534"/>
    </row>
    <row r="328" spans="1:12" x14ac:dyDescent="0.25">
      <c r="A328" s="615"/>
      <c r="B328" s="182" t="s">
        <v>192</v>
      </c>
      <c r="C328" s="183"/>
      <c r="D328" s="234">
        <v>2</v>
      </c>
      <c r="E328" s="183"/>
      <c r="F328" s="183"/>
      <c r="G328" s="183"/>
      <c r="H328" s="183"/>
      <c r="I328" s="183"/>
      <c r="J328" s="183"/>
      <c r="K328" s="183"/>
      <c r="L328" s="534"/>
    </row>
    <row r="329" spans="1:12" x14ac:dyDescent="0.25">
      <c r="A329" s="615"/>
      <c r="B329" s="182" t="s">
        <v>524</v>
      </c>
      <c r="C329" s="183"/>
      <c r="D329" s="234">
        <v>4</v>
      </c>
      <c r="E329" s="183"/>
      <c r="F329" s="183"/>
      <c r="G329" s="183"/>
      <c r="H329" s="183"/>
      <c r="I329" s="183"/>
      <c r="J329" s="183"/>
      <c r="K329" s="183"/>
      <c r="L329" s="534"/>
    </row>
    <row r="330" spans="1:12" x14ac:dyDescent="0.25">
      <c r="A330" s="615"/>
      <c r="B330" s="182" t="s">
        <v>250</v>
      </c>
      <c r="C330" s="183"/>
      <c r="D330" s="234">
        <v>2</v>
      </c>
      <c r="E330" s="183"/>
      <c r="F330" s="183"/>
      <c r="G330" s="183"/>
      <c r="H330" s="183"/>
      <c r="I330" s="183"/>
      <c r="J330" s="183"/>
      <c r="K330" s="183"/>
      <c r="L330" s="534"/>
    </row>
    <row r="331" spans="1:12" x14ac:dyDescent="0.25">
      <c r="A331" s="615"/>
      <c r="B331" s="182" t="s">
        <v>196</v>
      </c>
      <c r="C331" s="183"/>
      <c r="D331" s="234">
        <v>4</v>
      </c>
      <c r="E331" s="183"/>
      <c r="F331" s="183"/>
      <c r="G331" s="183"/>
      <c r="H331" s="183"/>
      <c r="I331" s="183"/>
      <c r="J331" s="183"/>
      <c r="K331" s="183"/>
      <c r="L331" s="534"/>
    </row>
    <row r="332" spans="1:12" x14ac:dyDescent="0.25">
      <c r="A332" s="615"/>
      <c r="B332" s="182" t="s">
        <v>197</v>
      </c>
      <c r="C332" s="183"/>
      <c r="D332" s="234">
        <v>4</v>
      </c>
      <c r="E332" s="183"/>
      <c r="F332" s="183"/>
      <c r="G332" s="183"/>
      <c r="H332" s="183"/>
      <c r="I332" s="183"/>
      <c r="J332" s="183"/>
      <c r="K332" s="183"/>
      <c r="L332" s="534"/>
    </row>
    <row r="333" spans="1:12" x14ac:dyDescent="0.25">
      <c r="A333" s="615"/>
      <c r="B333" s="198" t="s">
        <v>387</v>
      </c>
      <c r="C333" s="199"/>
      <c r="D333" s="234">
        <v>4</v>
      </c>
      <c r="E333" s="199"/>
      <c r="F333" s="199"/>
      <c r="G333" s="199"/>
      <c r="H333" s="199"/>
      <c r="I333" s="199"/>
      <c r="J333" s="199"/>
      <c r="K333" s="199"/>
      <c r="L333" s="529"/>
    </row>
    <row r="334" spans="1:12" x14ac:dyDescent="0.25">
      <c r="A334" s="615"/>
      <c r="B334" s="159" t="s">
        <v>236</v>
      </c>
      <c r="C334" s="160"/>
      <c r="D334" s="255">
        <v>6</v>
      </c>
      <c r="E334" s="160"/>
      <c r="F334" s="160"/>
      <c r="G334" s="160"/>
      <c r="H334" s="160"/>
      <c r="I334" s="160"/>
      <c r="J334" s="160"/>
      <c r="K334" s="160"/>
      <c r="L334" s="543"/>
    </row>
    <row r="335" spans="1:12" x14ac:dyDescent="0.25">
      <c r="A335" s="615"/>
      <c r="B335" s="159" t="s">
        <v>525</v>
      </c>
      <c r="C335" s="160"/>
      <c r="D335" s="255">
        <v>8</v>
      </c>
      <c r="E335" s="160"/>
      <c r="F335" s="160"/>
      <c r="G335" s="160"/>
      <c r="H335" s="160"/>
      <c r="I335" s="160"/>
      <c r="J335" s="160"/>
      <c r="K335" s="160"/>
      <c r="L335" s="543"/>
    </row>
    <row r="336" spans="1:12" x14ac:dyDescent="0.25">
      <c r="A336" s="274" t="s">
        <v>294</v>
      </c>
      <c r="B336" s="277" t="s">
        <v>125</v>
      </c>
      <c r="C336" s="171"/>
      <c r="D336" s="258"/>
      <c r="E336" s="172"/>
      <c r="F336" s="172"/>
      <c r="G336" s="172"/>
      <c r="H336" s="172"/>
      <c r="I336" s="172"/>
      <c r="J336" s="172"/>
      <c r="K336" s="172"/>
      <c r="L336" s="173"/>
    </row>
    <row r="337" spans="1:12" x14ac:dyDescent="0.25">
      <c r="A337" s="119" t="s">
        <v>295</v>
      </c>
      <c r="B337" s="64" t="s">
        <v>136</v>
      </c>
      <c r="C337" s="61"/>
      <c r="D337" s="256"/>
      <c r="E337" s="62"/>
      <c r="F337" s="62"/>
      <c r="G337" s="62"/>
      <c r="H337" s="62"/>
      <c r="I337" s="62"/>
      <c r="J337" s="62"/>
      <c r="K337" s="62"/>
      <c r="L337" s="63"/>
    </row>
    <row r="338" spans="1:12" ht="31.5" x14ac:dyDescent="0.25">
      <c r="A338" s="576" t="s">
        <v>296</v>
      </c>
      <c r="B338" s="110" t="s">
        <v>126</v>
      </c>
      <c r="C338" s="41" t="s">
        <v>56</v>
      </c>
      <c r="D338" s="43">
        <f>SUM(D339:D340)</f>
        <v>7</v>
      </c>
      <c r="E338" s="43"/>
      <c r="F338" s="43"/>
      <c r="G338" s="43"/>
      <c r="H338" s="43"/>
      <c r="I338" s="43"/>
      <c r="J338" s="43"/>
      <c r="K338" s="43"/>
      <c r="L338" s="519">
        <f>D338</f>
        <v>7</v>
      </c>
    </row>
    <row r="339" spans="1:12" x14ac:dyDescent="0.25">
      <c r="A339" s="574"/>
      <c r="B339" s="348" t="s">
        <v>526</v>
      </c>
      <c r="C339" s="349"/>
      <c r="D339" s="221">
        <v>4</v>
      </c>
      <c r="E339" s="349"/>
      <c r="F339" s="349"/>
      <c r="G339" s="349"/>
      <c r="H339" s="349"/>
      <c r="I339" s="349"/>
      <c r="J339" s="349"/>
      <c r="K339" s="349"/>
      <c r="L339" s="509"/>
    </row>
    <row r="340" spans="1:12" x14ac:dyDescent="0.25">
      <c r="A340" s="575"/>
      <c r="B340" s="217" t="s">
        <v>527</v>
      </c>
      <c r="C340" s="218"/>
      <c r="D340" s="222">
        <v>3</v>
      </c>
      <c r="E340" s="218"/>
      <c r="F340" s="218"/>
      <c r="G340" s="218"/>
      <c r="H340" s="218"/>
      <c r="I340" s="218"/>
      <c r="J340" s="218"/>
      <c r="K340" s="218"/>
      <c r="L340" s="510"/>
    </row>
    <row r="341" spans="1:12" ht="47.25" x14ac:dyDescent="0.25">
      <c r="A341" s="576" t="s">
        <v>297</v>
      </c>
      <c r="B341" s="110" t="s">
        <v>133</v>
      </c>
      <c r="C341" s="41" t="s">
        <v>56</v>
      </c>
      <c r="D341" s="43">
        <f>D342</f>
        <v>2</v>
      </c>
      <c r="E341" s="43"/>
      <c r="F341" s="43"/>
      <c r="G341" s="43"/>
      <c r="H341" s="43"/>
      <c r="I341" s="43"/>
      <c r="J341" s="43"/>
      <c r="K341" s="43"/>
      <c r="L341" s="519">
        <f>D341</f>
        <v>2</v>
      </c>
    </row>
    <row r="342" spans="1:12" x14ac:dyDescent="0.25">
      <c r="A342" s="575"/>
      <c r="B342" s="217" t="s">
        <v>433</v>
      </c>
      <c r="C342" s="218"/>
      <c r="D342" s="222">
        <v>2</v>
      </c>
      <c r="E342" s="218"/>
      <c r="F342" s="218"/>
      <c r="G342" s="218"/>
      <c r="H342" s="218"/>
      <c r="I342" s="218"/>
      <c r="J342" s="218"/>
      <c r="K342" s="218"/>
      <c r="L342" s="510"/>
    </row>
    <row r="343" spans="1:12" ht="31.5" x14ac:dyDescent="0.25">
      <c r="A343" s="576" t="s">
        <v>598</v>
      </c>
      <c r="B343" s="110" t="s">
        <v>161</v>
      </c>
      <c r="C343" s="41" t="s">
        <v>56</v>
      </c>
      <c r="D343" s="43">
        <f>SUM(D344:D345)</f>
        <v>6</v>
      </c>
      <c r="E343" s="43"/>
      <c r="F343" s="43"/>
      <c r="G343" s="43"/>
      <c r="H343" s="43"/>
      <c r="I343" s="43"/>
      <c r="J343" s="43"/>
      <c r="K343" s="43"/>
      <c r="L343" s="519">
        <f>D343</f>
        <v>6</v>
      </c>
    </row>
    <row r="344" spans="1:12" x14ac:dyDescent="0.25">
      <c r="A344" s="574"/>
      <c r="B344" s="348" t="s">
        <v>526</v>
      </c>
      <c r="C344" s="349"/>
      <c r="D344" s="221">
        <v>4</v>
      </c>
      <c r="E344" s="349"/>
      <c r="F344" s="349"/>
      <c r="G344" s="349"/>
      <c r="H344" s="349"/>
      <c r="I344" s="349"/>
      <c r="J344" s="349"/>
      <c r="K344" s="349"/>
      <c r="L344" s="509"/>
    </row>
    <row r="345" spans="1:12" x14ac:dyDescent="0.25">
      <c r="A345" s="575"/>
      <c r="B345" s="217" t="s">
        <v>527</v>
      </c>
      <c r="C345" s="218"/>
      <c r="D345" s="222">
        <v>2</v>
      </c>
      <c r="E345" s="218"/>
      <c r="F345" s="218"/>
      <c r="G345" s="218"/>
      <c r="H345" s="218"/>
      <c r="I345" s="218"/>
      <c r="J345" s="218"/>
      <c r="K345" s="218"/>
      <c r="L345" s="510"/>
    </row>
    <row r="346" spans="1:12" x14ac:dyDescent="0.25">
      <c r="A346" s="576" t="s">
        <v>352</v>
      </c>
      <c r="B346" s="130" t="s">
        <v>187</v>
      </c>
      <c r="C346" s="41" t="s">
        <v>56</v>
      </c>
      <c r="D346" s="43">
        <v>2</v>
      </c>
      <c r="E346" s="43"/>
      <c r="F346" s="43"/>
      <c r="G346" s="43"/>
      <c r="H346" s="43"/>
      <c r="I346" s="43"/>
      <c r="J346" s="43"/>
      <c r="K346" s="43"/>
      <c r="L346" s="519">
        <f>D346</f>
        <v>2</v>
      </c>
    </row>
    <row r="347" spans="1:12" x14ac:dyDescent="0.25">
      <c r="A347" s="575"/>
      <c r="B347" s="217" t="s">
        <v>527</v>
      </c>
      <c r="C347" s="218"/>
      <c r="D347" s="222">
        <v>2</v>
      </c>
      <c r="E347" s="218"/>
      <c r="F347" s="218"/>
      <c r="G347" s="218"/>
      <c r="H347" s="218"/>
      <c r="I347" s="218"/>
      <c r="J347" s="218"/>
      <c r="K347" s="218"/>
      <c r="L347" s="510"/>
    </row>
    <row r="348" spans="1:12" ht="31.5" x14ac:dyDescent="0.25">
      <c r="A348" s="576" t="s">
        <v>611</v>
      </c>
      <c r="B348" s="110" t="s">
        <v>127</v>
      </c>
      <c r="C348" s="41" t="s">
        <v>56</v>
      </c>
      <c r="D348" s="43">
        <f>SUM(D349:D350)</f>
        <v>6</v>
      </c>
      <c r="E348" s="43"/>
      <c r="F348" s="43"/>
      <c r="G348" s="43"/>
      <c r="H348" s="43"/>
      <c r="I348" s="43"/>
      <c r="J348" s="43"/>
      <c r="K348" s="43"/>
      <c r="L348" s="519">
        <f>D348</f>
        <v>6</v>
      </c>
    </row>
    <row r="349" spans="1:12" x14ac:dyDescent="0.25">
      <c r="A349" s="574"/>
      <c r="B349" s="348" t="s">
        <v>526</v>
      </c>
      <c r="C349" s="349"/>
      <c r="D349" s="221">
        <v>4</v>
      </c>
      <c r="E349" s="349"/>
      <c r="F349" s="349"/>
      <c r="G349" s="349"/>
      <c r="H349" s="349"/>
      <c r="I349" s="349"/>
      <c r="J349" s="349"/>
      <c r="K349" s="349"/>
      <c r="L349" s="509"/>
    </row>
    <row r="350" spans="1:12" x14ac:dyDescent="0.25">
      <c r="A350" s="575"/>
      <c r="B350" s="217" t="s">
        <v>527</v>
      </c>
      <c r="C350" s="218"/>
      <c r="D350" s="222">
        <v>2</v>
      </c>
      <c r="E350" s="218"/>
      <c r="F350" s="218"/>
      <c r="G350" s="218"/>
      <c r="H350" s="218"/>
      <c r="I350" s="218"/>
      <c r="J350" s="218"/>
      <c r="K350" s="218"/>
      <c r="L350" s="510"/>
    </row>
    <row r="351" spans="1:12" ht="31.5" x14ac:dyDescent="0.25">
      <c r="A351" s="576" t="s">
        <v>612</v>
      </c>
      <c r="B351" s="110" t="s">
        <v>128</v>
      </c>
      <c r="C351" s="41" t="s">
        <v>56</v>
      </c>
      <c r="D351" s="43">
        <f>SUM(D352:D353)</f>
        <v>2</v>
      </c>
      <c r="E351" s="43"/>
      <c r="F351" s="43"/>
      <c r="G351" s="43"/>
      <c r="H351" s="43"/>
      <c r="I351" s="43"/>
      <c r="J351" s="43"/>
      <c r="K351" s="43"/>
      <c r="L351" s="519">
        <f>D351</f>
        <v>2</v>
      </c>
    </row>
    <row r="352" spans="1:12" x14ac:dyDescent="0.25">
      <c r="A352" s="574"/>
      <c r="B352" s="348" t="s">
        <v>526</v>
      </c>
      <c r="C352" s="349"/>
      <c r="D352" s="221">
        <v>1</v>
      </c>
      <c r="E352" s="349"/>
      <c r="F352" s="349"/>
      <c r="G352" s="349"/>
      <c r="H352" s="349"/>
      <c r="I352" s="349"/>
      <c r="J352" s="349"/>
      <c r="K352" s="349"/>
      <c r="L352" s="509"/>
    </row>
    <row r="353" spans="1:12" x14ac:dyDescent="0.25">
      <c r="A353" s="575"/>
      <c r="B353" s="217" t="s">
        <v>527</v>
      </c>
      <c r="C353" s="218"/>
      <c r="D353" s="222">
        <v>1</v>
      </c>
      <c r="E353" s="218"/>
      <c r="F353" s="218"/>
      <c r="G353" s="218"/>
      <c r="H353" s="218"/>
      <c r="I353" s="218"/>
      <c r="J353" s="218"/>
      <c r="K353" s="218"/>
      <c r="L353" s="510"/>
    </row>
    <row r="354" spans="1:12" x14ac:dyDescent="0.25">
      <c r="A354" s="576" t="s">
        <v>613</v>
      </c>
      <c r="B354" s="130" t="s">
        <v>129</v>
      </c>
      <c r="C354" s="41" t="s">
        <v>56</v>
      </c>
      <c r="D354" s="43">
        <f>SUM(D355:D356)</f>
        <v>2</v>
      </c>
      <c r="E354" s="43"/>
      <c r="F354" s="43"/>
      <c r="G354" s="43"/>
      <c r="H354" s="43"/>
      <c r="I354" s="43"/>
      <c r="J354" s="43"/>
      <c r="K354" s="43"/>
      <c r="L354" s="519">
        <f>D354</f>
        <v>2</v>
      </c>
    </row>
    <row r="355" spans="1:12" x14ac:dyDescent="0.25">
      <c r="A355" s="574"/>
      <c r="B355" s="348" t="s">
        <v>526</v>
      </c>
      <c r="C355" s="349"/>
      <c r="D355" s="221">
        <v>1</v>
      </c>
      <c r="E355" s="349"/>
      <c r="F355" s="349"/>
      <c r="G355" s="349"/>
      <c r="H355" s="349"/>
      <c r="I355" s="349"/>
      <c r="J355" s="349"/>
      <c r="K355" s="349"/>
      <c r="L355" s="509"/>
    </row>
    <row r="356" spans="1:12" x14ac:dyDescent="0.25">
      <c r="A356" s="587"/>
      <c r="B356" s="194" t="s">
        <v>527</v>
      </c>
      <c r="C356" s="195"/>
      <c r="D356" s="226">
        <v>1</v>
      </c>
      <c r="E356" s="195"/>
      <c r="F356" s="195"/>
      <c r="G356" s="195"/>
      <c r="H356" s="195"/>
      <c r="I356" s="195"/>
      <c r="J356" s="195"/>
      <c r="K356" s="195"/>
      <c r="L356" s="549"/>
    </row>
    <row r="357" spans="1:12" x14ac:dyDescent="0.25">
      <c r="A357" s="601" t="s">
        <v>614</v>
      </c>
      <c r="B357" s="196" t="str">
        <f>'PLANILHA ORÇAMENTÁRIA'!D96</f>
        <v>Tampa para ralo, em aço inox, de 100x100mm</v>
      </c>
      <c r="C357" s="312" t="s">
        <v>56</v>
      </c>
      <c r="D357" s="197">
        <f>SUM(D358:D359)</f>
        <v>2</v>
      </c>
      <c r="E357" s="197"/>
      <c r="F357" s="197"/>
      <c r="G357" s="197"/>
      <c r="H357" s="197"/>
      <c r="I357" s="197"/>
      <c r="J357" s="197"/>
      <c r="K357" s="197"/>
      <c r="L357" s="550">
        <f>D357</f>
        <v>2</v>
      </c>
    </row>
    <row r="358" spans="1:12" x14ac:dyDescent="0.25">
      <c r="A358" s="584"/>
      <c r="B358" s="348" t="s">
        <v>526</v>
      </c>
      <c r="C358" s="349"/>
      <c r="D358" s="221">
        <v>1</v>
      </c>
      <c r="E358" s="349"/>
      <c r="F358" s="349"/>
      <c r="G358" s="349"/>
      <c r="H358" s="349"/>
      <c r="I358" s="349"/>
      <c r="J358" s="349"/>
      <c r="K358" s="349"/>
      <c r="L358" s="509"/>
    </row>
    <row r="359" spans="1:12" x14ac:dyDescent="0.25">
      <c r="A359" s="584"/>
      <c r="B359" s="194" t="s">
        <v>527</v>
      </c>
      <c r="C359" s="195"/>
      <c r="D359" s="226">
        <v>1</v>
      </c>
      <c r="E359" s="195"/>
      <c r="F359" s="195"/>
      <c r="G359" s="195"/>
      <c r="H359" s="195"/>
      <c r="I359" s="195"/>
      <c r="J359" s="195"/>
      <c r="K359" s="195"/>
      <c r="L359" s="549"/>
    </row>
    <row r="360" spans="1:12" x14ac:dyDescent="0.25">
      <c r="A360" s="119" t="s">
        <v>298</v>
      </c>
      <c r="B360" s="64" t="s">
        <v>131</v>
      </c>
      <c r="C360" s="61"/>
      <c r="D360" s="62"/>
      <c r="E360" s="62"/>
      <c r="F360" s="62"/>
      <c r="G360" s="62"/>
      <c r="H360" s="62"/>
      <c r="I360" s="62"/>
      <c r="J360" s="62"/>
      <c r="K360" s="62"/>
      <c r="L360" s="63"/>
    </row>
    <row r="361" spans="1:12" x14ac:dyDescent="0.25">
      <c r="A361" s="576" t="s">
        <v>599</v>
      </c>
      <c r="B361" s="130" t="s">
        <v>132</v>
      </c>
      <c r="C361" s="41" t="s">
        <v>11</v>
      </c>
      <c r="D361" s="43"/>
      <c r="E361" s="43"/>
      <c r="F361" s="43"/>
      <c r="G361" s="43"/>
      <c r="H361" s="43">
        <f>SUM(H362:H365)</f>
        <v>6.83</v>
      </c>
      <c r="I361" s="43"/>
      <c r="J361" s="43"/>
      <c r="K361" s="43"/>
      <c r="L361" s="519">
        <f>H361</f>
        <v>6.83</v>
      </c>
    </row>
    <row r="362" spans="1:12" x14ac:dyDescent="0.25">
      <c r="A362" s="579"/>
      <c r="B362" s="204" t="s">
        <v>526</v>
      </c>
      <c r="C362" s="205"/>
      <c r="D362" s="205"/>
      <c r="E362" s="205"/>
      <c r="F362" s="205"/>
      <c r="G362" s="205"/>
      <c r="H362" s="267">
        <v>1.74</v>
      </c>
      <c r="I362" s="205"/>
      <c r="J362" s="205"/>
      <c r="K362" s="205"/>
      <c r="L362" s="539"/>
    </row>
    <row r="363" spans="1:12" x14ac:dyDescent="0.25">
      <c r="A363" s="579"/>
      <c r="B363" s="204" t="s">
        <v>527</v>
      </c>
      <c r="C363" s="205"/>
      <c r="D363" s="205"/>
      <c r="E363" s="205"/>
      <c r="F363" s="205"/>
      <c r="G363" s="205"/>
      <c r="H363" s="267">
        <v>1.17</v>
      </c>
      <c r="I363" s="205"/>
      <c r="J363" s="205"/>
      <c r="K363" s="205"/>
      <c r="L363" s="539"/>
    </row>
    <row r="364" spans="1:12" x14ac:dyDescent="0.25">
      <c r="A364" s="579"/>
      <c r="B364" s="204" t="s">
        <v>433</v>
      </c>
      <c r="C364" s="205"/>
      <c r="D364" s="205"/>
      <c r="E364" s="205"/>
      <c r="F364" s="205"/>
      <c r="G364" s="205"/>
      <c r="H364" s="267">
        <v>2.38</v>
      </c>
      <c r="I364" s="205"/>
      <c r="J364" s="205"/>
      <c r="K364" s="205"/>
      <c r="L364" s="539"/>
    </row>
    <row r="365" spans="1:12" x14ac:dyDescent="0.25">
      <c r="A365" s="580"/>
      <c r="B365" s="268" t="s">
        <v>195</v>
      </c>
      <c r="C365" s="269"/>
      <c r="D365" s="269"/>
      <c r="E365" s="269"/>
      <c r="F365" s="269"/>
      <c r="G365" s="269"/>
      <c r="H365" s="237">
        <v>1.54</v>
      </c>
      <c r="I365" s="269"/>
      <c r="J365" s="269"/>
      <c r="K365" s="269"/>
      <c r="L365" s="551"/>
    </row>
    <row r="366" spans="1:12" x14ac:dyDescent="0.25">
      <c r="A366" s="119" t="s">
        <v>615</v>
      </c>
      <c r="B366" s="390" t="s">
        <v>135</v>
      </c>
      <c r="C366" s="391"/>
      <c r="D366" s="391"/>
      <c r="E366" s="391"/>
      <c r="F366" s="391"/>
      <c r="G366" s="391"/>
      <c r="H366" s="391"/>
      <c r="I366" s="391"/>
      <c r="J366" s="391"/>
      <c r="K366" s="391"/>
      <c r="L366" s="421"/>
    </row>
    <row r="367" spans="1:12" ht="31.5" x14ac:dyDescent="0.25">
      <c r="A367" s="576" t="s">
        <v>616</v>
      </c>
      <c r="B367" s="110" t="s">
        <v>162</v>
      </c>
      <c r="C367" s="41" t="s">
        <v>56</v>
      </c>
      <c r="D367" s="43">
        <f>SUM(D368:D369)</f>
        <v>7</v>
      </c>
      <c r="E367" s="43"/>
      <c r="F367" s="43"/>
      <c r="G367" s="43"/>
      <c r="H367" s="43"/>
      <c r="I367" s="43"/>
      <c r="J367" s="43"/>
      <c r="K367" s="43"/>
      <c r="L367" s="333">
        <f>D367</f>
        <v>7</v>
      </c>
    </row>
    <row r="368" spans="1:12" x14ac:dyDescent="0.25">
      <c r="A368" s="574"/>
      <c r="B368" s="348" t="s">
        <v>526</v>
      </c>
      <c r="C368" s="349"/>
      <c r="D368" s="221">
        <v>4</v>
      </c>
      <c r="E368" s="349"/>
      <c r="F368" s="349"/>
      <c r="G368" s="349"/>
      <c r="H368" s="349"/>
      <c r="I368" s="349"/>
      <c r="J368" s="349"/>
      <c r="K368" s="349"/>
      <c r="L368" s="509"/>
    </row>
    <row r="369" spans="1:12" x14ac:dyDescent="0.25">
      <c r="A369" s="575"/>
      <c r="B369" s="217" t="s">
        <v>527</v>
      </c>
      <c r="C369" s="218"/>
      <c r="D369" s="222">
        <v>3</v>
      </c>
      <c r="E369" s="218"/>
      <c r="F369" s="218"/>
      <c r="G369" s="218"/>
      <c r="H369" s="218"/>
      <c r="I369" s="218"/>
      <c r="J369" s="218"/>
      <c r="K369" s="218"/>
      <c r="L369" s="510"/>
    </row>
    <row r="370" spans="1:12" ht="31.5" x14ac:dyDescent="0.25">
      <c r="A370" s="576" t="s">
        <v>617</v>
      </c>
      <c r="B370" s="110" t="s">
        <v>134</v>
      </c>
      <c r="C370" s="41" t="s">
        <v>56</v>
      </c>
      <c r="D370" s="43">
        <f>D371</f>
        <v>2</v>
      </c>
      <c r="E370" s="43"/>
      <c r="F370" s="43"/>
      <c r="G370" s="43"/>
      <c r="H370" s="43"/>
      <c r="I370" s="43"/>
      <c r="J370" s="43"/>
      <c r="K370" s="43"/>
      <c r="L370" s="519">
        <f>D370</f>
        <v>2</v>
      </c>
    </row>
    <row r="371" spans="1:12" x14ac:dyDescent="0.25">
      <c r="A371" s="574"/>
      <c r="B371" s="348" t="s">
        <v>433</v>
      </c>
      <c r="C371" s="349"/>
      <c r="D371" s="221">
        <v>2</v>
      </c>
      <c r="E371" s="349"/>
      <c r="F371" s="349"/>
      <c r="G371" s="349"/>
      <c r="H371" s="349"/>
      <c r="I371" s="349"/>
      <c r="J371" s="349"/>
      <c r="K371" s="349"/>
      <c r="L371" s="509"/>
    </row>
    <row r="372" spans="1:12" x14ac:dyDescent="0.25">
      <c r="A372" s="274" t="s">
        <v>299</v>
      </c>
      <c r="B372" s="275" t="s">
        <v>137</v>
      </c>
      <c r="C372" s="168"/>
      <c r="D372" s="169"/>
      <c r="E372" s="169"/>
      <c r="F372" s="169"/>
      <c r="G372" s="169"/>
      <c r="H372" s="169"/>
      <c r="I372" s="169"/>
      <c r="J372" s="169"/>
      <c r="K372" s="169"/>
      <c r="L372" s="170"/>
    </row>
    <row r="373" spans="1:12" x14ac:dyDescent="0.25">
      <c r="A373" s="119" t="s">
        <v>300</v>
      </c>
      <c r="B373" s="64" t="s">
        <v>142</v>
      </c>
      <c r="C373" s="61"/>
      <c r="D373" s="62"/>
      <c r="E373" s="62"/>
      <c r="F373" s="62"/>
      <c r="G373" s="62"/>
      <c r="H373" s="62"/>
      <c r="I373" s="62"/>
      <c r="J373" s="62"/>
      <c r="K373" s="62"/>
      <c r="L373" s="63"/>
    </row>
    <row r="374" spans="1:12" ht="31.5" x14ac:dyDescent="0.25">
      <c r="A374" s="576" t="s">
        <v>301</v>
      </c>
      <c r="B374" s="110" t="s">
        <v>237</v>
      </c>
      <c r="C374" s="41" t="s">
        <v>56</v>
      </c>
      <c r="D374" s="43">
        <f>SUM(D375:D397)</f>
        <v>43</v>
      </c>
      <c r="E374" s="43"/>
      <c r="F374" s="43"/>
      <c r="G374" s="43"/>
      <c r="H374" s="43"/>
      <c r="I374" s="43"/>
      <c r="J374" s="43"/>
      <c r="K374" s="43"/>
      <c r="L374" s="519">
        <f>D374</f>
        <v>43</v>
      </c>
    </row>
    <row r="375" spans="1:12" x14ac:dyDescent="0.25">
      <c r="A375" s="590"/>
      <c r="B375" s="198" t="s">
        <v>430</v>
      </c>
      <c r="C375" s="199"/>
      <c r="D375" s="200">
        <v>7</v>
      </c>
      <c r="E375" s="199"/>
      <c r="F375" s="199"/>
      <c r="G375" s="199"/>
      <c r="H375" s="199"/>
      <c r="I375" s="199"/>
      <c r="J375" s="199"/>
      <c r="K375" s="199"/>
      <c r="L375" s="529"/>
    </row>
    <row r="376" spans="1:12" x14ac:dyDescent="0.25">
      <c r="A376" s="590"/>
      <c r="B376" s="182" t="s">
        <v>431</v>
      </c>
      <c r="C376" s="183"/>
      <c r="D376" s="200">
        <v>13</v>
      </c>
      <c r="E376" s="183"/>
      <c r="F376" s="183"/>
      <c r="G376" s="183"/>
      <c r="H376" s="183"/>
      <c r="I376" s="183"/>
      <c r="J376" s="183"/>
      <c r="K376" s="183"/>
      <c r="L376" s="534"/>
    </row>
    <row r="377" spans="1:12" x14ac:dyDescent="0.25">
      <c r="A377" s="590"/>
      <c r="B377" s="182" t="s">
        <v>385</v>
      </c>
      <c r="C377" s="183"/>
      <c r="D377" s="200">
        <v>1</v>
      </c>
      <c r="E377" s="183"/>
      <c r="F377" s="183"/>
      <c r="G377" s="183"/>
      <c r="H377" s="183"/>
      <c r="I377" s="183"/>
      <c r="J377" s="183"/>
      <c r="K377" s="183"/>
      <c r="L377" s="534"/>
    </row>
    <row r="378" spans="1:12" x14ac:dyDescent="0.25">
      <c r="A378" s="590"/>
      <c r="B378" s="198" t="s">
        <v>322</v>
      </c>
      <c r="C378" s="199"/>
      <c r="D378" s="200">
        <v>2</v>
      </c>
      <c r="E378" s="199"/>
      <c r="F378" s="199"/>
      <c r="G378" s="199"/>
      <c r="H378" s="199"/>
      <c r="I378" s="199"/>
      <c r="J378" s="199"/>
      <c r="K378" s="199"/>
      <c r="L378" s="529"/>
    </row>
    <row r="379" spans="1:12" x14ac:dyDescent="0.25">
      <c r="A379" s="590"/>
      <c r="B379" s="198" t="s">
        <v>323</v>
      </c>
      <c r="C379" s="199"/>
      <c r="D379" s="200">
        <v>1</v>
      </c>
      <c r="E379" s="199"/>
      <c r="F379" s="199"/>
      <c r="G379" s="199"/>
      <c r="H379" s="199"/>
      <c r="I379" s="199"/>
      <c r="J379" s="199"/>
      <c r="K379" s="199"/>
      <c r="L379" s="529"/>
    </row>
    <row r="380" spans="1:12" x14ac:dyDescent="0.25">
      <c r="A380" s="590"/>
      <c r="B380" s="198" t="s">
        <v>324</v>
      </c>
      <c r="C380" s="199"/>
      <c r="D380" s="200">
        <v>1</v>
      </c>
      <c r="E380" s="199"/>
      <c r="F380" s="199"/>
      <c r="G380" s="199"/>
      <c r="H380" s="199"/>
      <c r="I380" s="199"/>
      <c r="J380" s="199"/>
      <c r="K380" s="199"/>
      <c r="L380" s="529"/>
    </row>
    <row r="381" spans="1:12" x14ac:dyDescent="0.25">
      <c r="A381" s="590"/>
      <c r="B381" s="198" t="s">
        <v>325</v>
      </c>
      <c r="C381" s="199"/>
      <c r="D381" s="200">
        <v>1</v>
      </c>
      <c r="E381" s="199"/>
      <c r="F381" s="199"/>
      <c r="G381" s="199"/>
      <c r="H381" s="199"/>
      <c r="I381" s="199"/>
      <c r="J381" s="199"/>
      <c r="K381" s="199"/>
      <c r="L381" s="529"/>
    </row>
    <row r="382" spans="1:12" x14ac:dyDescent="0.25">
      <c r="A382" s="590"/>
      <c r="B382" s="198" t="s">
        <v>326</v>
      </c>
      <c r="C382" s="199"/>
      <c r="D382" s="200">
        <v>1</v>
      </c>
      <c r="E382" s="199"/>
      <c r="F382" s="199"/>
      <c r="G382" s="199"/>
      <c r="H382" s="199"/>
      <c r="I382" s="199"/>
      <c r="J382" s="199"/>
      <c r="K382" s="199"/>
      <c r="L382" s="529"/>
    </row>
    <row r="383" spans="1:12" x14ac:dyDescent="0.25">
      <c r="A383" s="590"/>
      <c r="B383" s="198" t="s">
        <v>327</v>
      </c>
      <c r="C383" s="199"/>
      <c r="D383" s="200">
        <v>1</v>
      </c>
      <c r="E383" s="199"/>
      <c r="F383" s="199"/>
      <c r="G383" s="199"/>
      <c r="H383" s="199"/>
      <c r="I383" s="199"/>
      <c r="J383" s="199"/>
      <c r="K383" s="199"/>
      <c r="L383" s="529"/>
    </row>
    <row r="384" spans="1:12" x14ac:dyDescent="0.25">
      <c r="A384" s="590"/>
      <c r="B384" s="198" t="s">
        <v>328</v>
      </c>
      <c r="C384" s="199"/>
      <c r="D384" s="200">
        <v>1</v>
      </c>
      <c r="E384" s="199"/>
      <c r="F384" s="199"/>
      <c r="G384" s="199"/>
      <c r="H384" s="199"/>
      <c r="I384" s="199"/>
      <c r="J384" s="199"/>
      <c r="K384" s="199"/>
      <c r="L384" s="529"/>
    </row>
    <row r="385" spans="1:12" x14ac:dyDescent="0.25">
      <c r="A385" s="590"/>
      <c r="B385" s="198" t="s">
        <v>411</v>
      </c>
      <c r="C385" s="199"/>
      <c r="D385" s="200">
        <v>1</v>
      </c>
      <c r="E385" s="199"/>
      <c r="F385" s="199"/>
      <c r="G385" s="199"/>
      <c r="H385" s="199"/>
      <c r="I385" s="199"/>
      <c r="J385" s="199"/>
      <c r="K385" s="199"/>
      <c r="L385" s="529"/>
    </row>
    <row r="386" spans="1:12" x14ac:dyDescent="0.25">
      <c r="A386" s="590"/>
      <c r="B386" s="198" t="s">
        <v>329</v>
      </c>
      <c r="C386" s="199"/>
      <c r="D386" s="200">
        <v>1</v>
      </c>
      <c r="E386" s="199"/>
      <c r="F386" s="199"/>
      <c r="G386" s="199"/>
      <c r="H386" s="199"/>
      <c r="I386" s="199"/>
      <c r="J386" s="199"/>
      <c r="K386" s="199"/>
      <c r="L386" s="529"/>
    </row>
    <row r="387" spans="1:12" x14ac:dyDescent="0.25">
      <c r="A387" s="590"/>
      <c r="B387" s="198" t="s">
        <v>412</v>
      </c>
      <c r="C387" s="199"/>
      <c r="D387" s="200">
        <v>1</v>
      </c>
      <c r="E387" s="199"/>
      <c r="F387" s="199"/>
      <c r="G387" s="199"/>
      <c r="H387" s="199"/>
      <c r="I387" s="199"/>
      <c r="J387" s="199"/>
      <c r="K387" s="199"/>
      <c r="L387" s="529"/>
    </row>
    <row r="388" spans="1:12" x14ac:dyDescent="0.25">
      <c r="A388" s="590"/>
      <c r="B388" s="198" t="s">
        <v>413</v>
      </c>
      <c r="C388" s="199"/>
      <c r="D388" s="200">
        <v>1</v>
      </c>
      <c r="E388" s="199"/>
      <c r="F388" s="199"/>
      <c r="G388" s="199"/>
      <c r="H388" s="199"/>
      <c r="I388" s="199"/>
      <c r="J388" s="199"/>
      <c r="K388" s="199"/>
      <c r="L388" s="529"/>
    </row>
    <row r="389" spans="1:12" x14ac:dyDescent="0.25">
      <c r="A389" s="590"/>
      <c r="B389" s="198" t="s">
        <v>330</v>
      </c>
      <c r="C389" s="199"/>
      <c r="D389" s="200">
        <v>2</v>
      </c>
      <c r="E389" s="199"/>
      <c r="F389" s="199"/>
      <c r="G389" s="199"/>
      <c r="H389" s="199"/>
      <c r="I389" s="199"/>
      <c r="J389" s="199"/>
      <c r="K389" s="199"/>
      <c r="L389" s="529"/>
    </row>
    <row r="390" spans="1:12" x14ac:dyDescent="0.25">
      <c r="A390" s="590"/>
      <c r="B390" s="182" t="s">
        <v>331</v>
      </c>
      <c r="C390" s="183"/>
      <c r="D390" s="200">
        <v>1</v>
      </c>
      <c r="E390" s="183"/>
      <c r="F390" s="183"/>
      <c r="G390" s="183"/>
      <c r="H390" s="183"/>
      <c r="I390" s="183"/>
      <c r="J390" s="183"/>
      <c r="K390" s="183"/>
      <c r="L390" s="534"/>
    </row>
    <row r="391" spans="1:12" x14ac:dyDescent="0.25">
      <c r="A391" s="590"/>
      <c r="B391" s="182" t="s">
        <v>332</v>
      </c>
      <c r="C391" s="183"/>
      <c r="D391" s="200">
        <v>1</v>
      </c>
      <c r="E391" s="183"/>
      <c r="F391" s="183"/>
      <c r="G391" s="183"/>
      <c r="H391" s="183"/>
      <c r="I391" s="183"/>
      <c r="J391" s="183"/>
      <c r="K391" s="183"/>
      <c r="L391" s="534"/>
    </row>
    <row r="392" spans="1:12" x14ac:dyDescent="0.25">
      <c r="A392" s="590"/>
      <c r="B392" s="182" t="s">
        <v>333</v>
      </c>
      <c r="C392" s="183"/>
      <c r="D392" s="200">
        <v>1</v>
      </c>
      <c r="E392" s="183"/>
      <c r="F392" s="183"/>
      <c r="G392" s="183"/>
      <c r="H392" s="183"/>
      <c r="I392" s="183"/>
      <c r="J392" s="183"/>
      <c r="K392" s="183"/>
      <c r="L392" s="534"/>
    </row>
    <row r="393" spans="1:12" x14ac:dyDescent="0.25">
      <c r="A393" s="590"/>
      <c r="B393" s="182" t="s">
        <v>334</v>
      </c>
      <c r="C393" s="183"/>
      <c r="D393" s="200">
        <v>1</v>
      </c>
      <c r="E393" s="183"/>
      <c r="F393" s="183"/>
      <c r="G393" s="183"/>
      <c r="H393" s="183"/>
      <c r="I393" s="183"/>
      <c r="J393" s="183"/>
      <c r="K393" s="183"/>
      <c r="L393" s="534"/>
    </row>
    <row r="394" spans="1:12" x14ac:dyDescent="0.25">
      <c r="A394" s="590"/>
      <c r="B394" s="182" t="s">
        <v>335</v>
      </c>
      <c r="C394" s="183"/>
      <c r="D394" s="200">
        <v>1</v>
      </c>
      <c r="E394" s="183"/>
      <c r="F394" s="183"/>
      <c r="G394" s="183"/>
      <c r="H394" s="183"/>
      <c r="I394" s="183"/>
      <c r="J394" s="183"/>
      <c r="K394" s="183"/>
      <c r="L394" s="534"/>
    </row>
    <row r="395" spans="1:12" x14ac:dyDescent="0.25">
      <c r="A395" s="590"/>
      <c r="B395" s="182" t="s">
        <v>336</v>
      </c>
      <c r="C395" s="183"/>
      <c r="D395" s="200">
        <v>1</v>
      </c>
      <c r="E395" s="183"/>
      <c r="F395" s="183"/>
      <c r="G395" s="183"/>
      <c r="H395" s="183"/>
      <c r="I395" s="183"/>
      <c r="J395" s="183"/>
      <c r="K395" s="183"/>
      <c r="L395" s="534"/>
    </row>
    <row r="396" spans="1:12" x14ac:dyDescent="0.25">
      <c r="A396" s="590"/>
      <c r="B396" s="182" t="s">
        <v>337</v>
      </c>
      <c r="C396" s="183"/>
      <c r="D396" s="200">
        <v>1</v>
      </c>
      <c r="E396" s="183"/>
      <c r="F396" s="183"/>
      <c r="G396" s="183"/>
      <c r="H396" s="183"/>
      <c r="I396" s="183"/>
      <c r="J396" s="183"/>
      <c r="K396" s="183"/>
      <c r="L396" s="534"/>
    </row>
    <row r="397" spans="1:12" x14ac:dyDescent="0.25">
      <c r="A397" s="618"/>
      <c r="B397" s="155" t="s">
        <v>386</v>
      </c>
      <c r="C397" s="156"/>
      <c r="D397" s="201">
        <v>1</v>
      </c>
      <c r="E397" s="156"/>
      <c r="F397" s="156"/>
      <c r="G397" s="156"/>
      <c r="H397" s="156"/>
      <c r="I397" s="156"/>
      <c r="J397" s="156"/>
      <c r="K397" s="156"/>
      <c r="L397" s="535"/>
    </row>
    <row r="398" spans="1:12" x14ac:dyDescent="0.25">
      <c r="A398" s="576" t="s">
        <v>302</v>
      </c>
      <c r="B398" s="49" t="str">
        <f>'PLANILHA ORÇAMENTÁRIA'!D105</f>
        <v>Lâmpada compacta de LED 10 W, base E27 - fornecimento e instalação</v>
      </c>
      <c r="C398" s="50" t="s">
        <v>56</v>
      </c>
      <c r="D398" s="51">
        <f>SUM(D399:D423)</f>
        <v>51</v>
      </c>
      <c r="E398" s="51"/>
      <c r="F398" s="51"/>
      <c r="G398" s="51"/>
      <c r="H398" s="51"/>
      <c r="I398" s="51"/>
      <c r="J398" s="51"/>
      <c r="K398" s="51"/>
      <c r="L398" s="508">
        <f>D398</f>
        <v>51</v>
      </c>
    </row>
    <row r="399" spans="1:12" x14ac:dyDescent="0.25">
      <c r="A399" s="579"/>
      <c r="B399" s="198" t="s">
        <v>244</v>
      </c>
      <c r="C399" s="199"/>
      <c r="D399" s="200">
        <v>2</v>
      </c>
      <c r="E399" s="199"/>
      <c r="F399" s="199"/>
      <c r="G399" s="199"/>
      <c r="H399" s="199"/>
      <c r="I399" s="199"/>
      <c r="J399" s="199"/>
      <c r="K399" s="199"/>
      <c r="L399" s="529"/>
    </row>
    <row r="400" spans="1:12" x14ac:dyDescent="0.25">
      <c r="A400" s="579"/>
      <c r="B400" s="198" t="s">
        <v>189</v>
      </c>
      <c r="C400" s="199"/>
      <c r="D400" s="200">
        <v>2</v>
      </c>
      <c r="E400" s="199"/>
      <c r="F400" s="199"/>
      <c r="G400" s="199"/>
      <c r="H400" s="199"/>
      <c r="I400" s="199"/>
      <c r="J400" s="199"/>
      <c r="K400" s="199"/>
      <c r="L400" s="529"/>
    </row>
    <row r="401" spans="1:12" x14ac:dyDescent="0.25">
      <c r="A401" s="579"/>
      <c r="B401" s="198" t="s">
        <v>200</v>
      </c>
      <c r="C401" s="199"/>
      <c r="D401" s="200">
        <v>1</v>
      </c>
      <c r="E401" s="199"/>
      <c r="F401" s="199"/>
      <c r="G401" s="199"/>
      <c r="H401" s="199"/>
      <c r="I401" s="199"/>
      <c r="J401" s="199"/>
      <c r="K401" s="199"/>
      <c r="L401" s="529"/>
    </row>
    <row r="402" spans="1:12" x14ac:dyDescent="0.25">
      <c r="A402" s="579"/>
      <c r="B402" s="198" t="s">
        <v>378</v>
      </c>
      <c r="C402" s="199"/>
      <c r="D402" s="200">
        <v>1</v>
      </c>
      <c r="E402" s="199"/>
      <c r="F402" s="199"/>
      <c r="G402" s="199"/>
      <c r="H402" s="199"/>
      <c r="I402" s="199"/>
      <c r="J402" s="199"/>
      <c r="K402" s="199"/>
      <c r="L402" s="529"/>
    </row>
    <row r="403" spans="1:12" x14ac:dyDescent="0.25">
      <c r="A403" s="579"/>
      <c r="B403" s="198" t="s">
        <v>190</v>
      </c>
      <c r="C403" s="199"/>
      <c r="D403" s="200">
        <v>1</v>
      </c>
      <c r="E403" s="199"/>
      <c r="F403" s="199"/>
      <c r="G403" s="199"/>
      <c r="H403" s="199"/>
      <c r="I403" s="199"/>
      <c r="J403" s="199"/>
      <c r="K403" s="199"/>
      <c r="L403" s="529"/>
    </row>
    <row r="404" spans="1:12" x14ac:dyDescent="0.25">
      <c r="A404" s="579"/>
      <c r="B404" s="198" t="s">
        <v>374</v>
      </c>
      <c r="C404" s="199"/>
      <c r="D404" s="200">
        <v>1</v>
      </c>
      <c r="E404" s="199"/>
      <c r="F404" s="199"/>
      <c r="G404" s="199"/>
      <c r="H404" s="199"/>
      <c r="I404" s="199"/>
      <c r="J404" s="199"/>
      <c r="K404" s="199"/>
      <c r="L404" s="529"/>
    </row>
    <row r="405" spans="1:12" x14ac:dyDescent="0.25">
      <c r="A405" s="579"/>
      <c r="B405" s="198" t="s">
        <v>375</v>
      </c>
      <c r="C405" s="199"/>
      <c r="D405" s="200">
        <v>1</v>
      </c>
      <c r="E405" s="199"/>
      <c r="F405" s="199"/>
      <c r="G405" s="199"/>
      <c r="H405" s="199"/>
      <c r="I405" s="199"/>
      <c r="J405" s="199"/>
      <c r="K405" s="199"/>
      <c r="L405" s="529"/>
    </row>
    <row r="406" spans="1:12" x14ac:dyDescent="0.25">
      <c r="A406" s="579"/>
      <c r="B406" s="198" t="s">
        <v>201</v>
      </c>
      <c r="C406" s="199"/>
      <c r="D406" s="200">
        <v>1</v>
      </c>
      <c r="E406" s="199"/>
      <c r="F406" s="199"/>
      <c r="G406" s="199"/>
      <c r="H406" s="199"/>
      <c r="I406" s="199"/>
      <c r="J406" s="199"/>
      <c r="K406" s="199"/>
      <c r="L406" s="529"/>
    </row>
    <row r="407" spans="1:12" x14ac:dyDescent="0.25">
      <c r="A407" s="579"/>
      <c r="B407" s="198" t="s">
        <v>414</v>
      </c>
      <c r="C407" s="199"/>
      <c r="D407" s="200">
        <v>1</v>
      </c>
      <c r="E407" s="199"/>
      <c r="F407" s="199"/>
      <c r="G407" s="199"/>
      <c r="H407" s="199"/>
      <c r="I407" s="199"/>
      <c r="J407" s="199"/>
      <c r="K407" s="199"/>
      <c r="L407" s="529"/>
    </row>
    <row r="408" spans="1:12" x14ac:dyDescent="0.25">
      <c r="A408" s="579"/>
      <c r="B408" s="198" t="s">
        <v>247</v>
      </c>
      <c r="C408" s="199"/>
      <c r="D408" s="200">
        <v>1</v>
      </c>
      <c r="E408" s="199"/>
      <c r="F408" s="199"/>
      <c r="G408" s="199"/>
      <c r="H408" s="199"/>
      <c r="I408" s="199"/>
      <c r="J408" s="199"/>
      <c r="K408" s="199"/>
      <c r="L408" s="529"/>
    </row>
    <row r="409" spans="1:12" x14ac:dyDescent="0.25">
      <c r="A409" s="579"/>
      <c r="B409" s="198" t="s">
        <v>409</v>
      </c>
      <c r="C409" s="199"/>
      <c r="D409" s="200">
        <v>1</v>
      </c>
      <c r="E409" s="199"/>
      <c r="F409" s="199"/>
      <c r="G409" s="199"/>
      <c r="H409" s="199"/>
      <c r="I409" s="199"/>
      <c r="J409" s="199"/>
      <c r="K409" s="199"/>
      <c r="L409" s="529"/>
    </row>
    <row r="410" spans="1:12" x14ac:dyDescent="0.25">
      <c r="A410" s="579"/>
      <c r="B410" s="198" t="s">
        <v>410</v>
      </c>
      <c r="C410" s="199"/>
      <c r="D410" s="200">
        <v>1</v>
      </c>
      <c r="E410" s="199"/>
      <c r="F410" s="199"/>
      <c r="G410" s="199"/>
      <c r="H410" s="199"/>
      <c r="I410" s="199"/>
      <c r="J410" s="199"/>
      <c r="K410" s="199"/>
      <c r="L410" s="529"/>
    </row>
    <row r="411" spans="1:12" x14ac:dyDescent="0.25">
      <c r="A411" s="579"/>
      <c r="B411" s="198" t="s">
        <v>202</v>
      </c>
      <c r="C411" s="199"/>
      <c r="D411" s="200">
        <v>2</v>
      </c>
      <c r="E411" s="199"/>
      <c r="F411" s="199"/>
      <c r="G411" s="199"/>
      <c r="H411" s="199"/>
      <c r="I411" s="199"/>
      <c r="J411" s="199"/>
      <c r="K411" s="199"/>
      <c r="L411" s="529"/>
    </row>
    <row r="412" spans="1:12" x14ac:dyDescent="0.25">
      <c r="A412" s="579"/>
      <c r="B412" s="182" t="s">
        <v>191</v>
      </c>
      <c r="C412" s="183"/>
      <c r="D412" s="200">
        <v>1</v>
      </c>
      <c r="E412" s="183"/>
      <c r="F412" s="183"/>
      <c r="G412" s="183"/>
      <c r="H412" s="183"/>
      <c r="I412" s="183"/>
      <c r="J412" s="183"/>
      <c r="K412" s="183"/>
      <c r="L412" s="534"/>
    </row>
    <row r="413" spans="1:12" x14ac:dyDescent="0.25">
      <c r="A413" s="579"/>
      <c r="B413" s="182" t="s">
        <v>192</v>
      </c>
      <c r="C413" s="183"/>
      <c r="D413" s="200">
        <v>1</v>
      </c>
      <c r="E413" s="183"/>
      <c r="F413" s="183"/>
      <c r="G413" s="183"/>
      <c r="H413" s="183"/>
      <c r="I413" s="183"/>
      <c r="J413" s="183"/>
      <c r="K413" s="183"/>
      <c r="L413" s="534"/>
    </row>
    <row r="414" spans="1:12" x14ac:dyDescent="0.25">
      <c r="A414" s="579"/>
      <c r="B414" s="182" t="s">
        <v>248</v>
      </c>
      <c r="C414" s="183"/>
      <c r="D414" s="200">
        <v>1</v>
      </c>
      <c r="E414" s="183"/>
      <c r="F414" s="183"/>
      <c r="G414" s="183"/>
      <c r="H414" s="183"/>
      <c r="I414" s="183"/>
      <c r="J414" s="183"/>
      <c r="K414" s="183"/>
      <c r="L414" s="534"/>
    </row>
    <row r="415" spans="1:12" x14ac:dyDescent="0.25">
      <c r="A415" s="579"/>
      <c r="B415" s="182" t="s">
        <v>249</v>
      </c>
      <c r="C415" s="183"/>
      <c r="D415" s="200">
        <v>1</v>
      </c>
      <c r="E415" s="183"/>
      <c r="F415" s="183"/>
      <c r="G415" s="183"/>
      <c r="H415" s="183"/>
      <c r="I415" s="183"/>
      <c r="J415" s="183"/>
      <c r="K415" s="183"/>
      <c r="L415" s="534"/>
    </row>
    <row r="416" spans="1:12" x14ac:dyDescent="0.25">
      <c r="A416" s="579"/>
      <c r="B416" s="182" t="s">
        <v>193</v>
      </c>
      <c r="C416" s="183"/>
      <c r="D416" s="200">
        <v>1</v>
      </c>
      <c r="E416" s="183"/>
      <c r="F416" s="183"/>
      <c r="G416" s="183"/>
      <c r="H416" s="183"/>
      <c r="I416" s="183"/>
      <c r="J416" s="183"/>
      <c r="K416" s="183"/>
      <c r="L416" s="534"/>
    </row>
    <row r="417" spans="1:12" x14ac:dyDescent="0.25">
      <c r="A417" s="579"/>
      <c r="B417" s="182" t="s">
        <v>377</v>
      </c>
      <c r="C417" s="183"/>
      <c r="D417" s="200">
        <v>1</v>
      </c>
      <c r="E417" s="183"/>
      <c r="F417" s="183"/>
      <c r="G417" s="183"/>
      <c r="H417" s="183"/>
      <c r="I417" s="183"/>
      <c r="J417" s="183"/>
      <c r="K417" s="183"/>
      <c r="L417" s="534"/>
    </row>
    <row r="418" spans="1:12" x14ac:dyDescent="0.25">
      <c r="A418" s="579"/>
      <c r="B418" s="182" t="s">
        <v>339</v>
      </c>
      <c r="C418" s="183"/>
      <c r="D418" s="200">
        <v>1</v>
      </c>
      <c r="E418" s="183"/>
      <c r="F418" s="183"/>
      <c r="G418" s="183"/>
      <c r="H418" s="183"/>
      <c r="I418" s="183"/>
      <c r="J418" s="183"/>
      <c r="K418" s="183"/>
      <c r="L418" s="534"/>
    </row>
    <row r="419" spans="1:12" x14ac:dyDescent="0.25">
      <c r="A419" s="579"/>
      <c r="B419" s="182" t="s">
        <v>340</v>
      </c>
      <c r="C419" s="183"/>
      <c r="D419" s="200">
        <v>2</v>
      </c>
      <c r="E419" s="183"/>
      <c r="F419" s="183"/>
      <c r="G419" s="183"/>
      <c r="H419" s="183"/>
      <c r="I419" s="183"/>
      <c r="J419" s="183"/>
      <c r="K419" s="183"/>
      <c r="L419" s="534"/>
    </row>
    <row r="420" spans="1:12" x14ac:dyDescent="0.25">
      <c r="A420" s="579"/>
      <c r="B420" s="341" t="s">
        <v>341</v>
      </c>
      <c r="C420" s="342"/>
      <c r="D420" s="202">
        <v>7</v>
      </c>
      <c r="E420" s="342"/>
      <c r="F420" s="342"/>
      <c r="G420" s="342"/>
      <c r="H420" s="342"/>
      <c r="I420" s="342"/>
      <c r="J420" s="342"/>
      <c r="K420" s="342"/>
      <c r="L420" s="536"/>
    </row>
    <row r="421" spans="1:12" x14ac:dyDescent="0.25">
      <c r="A421" s="579"/>
      <c r="B421" s="344" t="s">
        <v>343</v>
      </c>
      <c r="C421" s="345"/>
      <c r="D421" s="343">
        <v>3</v>
      </c>
      <c r="E421" s="345"/>
      <c r="F421" s="345"/>
      <c r="G421" s="345"/>
      <c r="H421" s="345"/>
      <c r="I421" s="345"/>
      <c r="J421" s="345"/>
      <c r="K421" s="345"/>
      <c r="L421" s="537"/>
    </row>
    <row r="422" spans="1:12" x14ac:dyDescent="0.25">
      <c r="A422" s="579"/>
      <c r="B422" s="344" t="s">
        <v>342</v>
      </c>
      <c r="C422" s="345"/>
      <c r="D422" s="343">
        <v>3</v>
      </c>
      <c r="E422" s="345"/>
      <c r="F422" s="345"/>
      <c r="G422" s="345"/>
      <c r="H422" s="345"/>
      <c r="I422" s="345"/>
      <c r="J422" s="345"/>
      <c r="K422" s="345"/>
      <c r="L422" s="537"/>
    </row>
    <row r="423" spans="1:12" x14ac:dyDescent="0.25">
      <c r="A423" s="585"/>
      <c r="B423" s="350" t="s">
        <v>344</v>
      </c>
      <c r="C423" s="351"/>
      <c r="D423" s="203">
        <v>13</v>
      </c>
      <c r="E423" s="351"/>
      <c r="F423" s="351"/>
      <c r="G423" s="351"/>
      <c r="H423" s="351"/>
      <c r="I423" s="351"/>
      <c r="J423" s="351"/>
      <c r="K423" s="351"/>
      <c r="L423" s="538"/>
    </row>
    <row r="424" spans="1:12" x14ac:dyDescent="0.25">
      <c r="A424" s="576" t="s">
        <v>303</v>
      </c>
      <c r="B424" s="157" t="str">
        <f>'PLANILHA ORÇAMENTÁRIA'!D106</f>
        <v>Lâmpada tubular de LED, 9/10 W, Base G13 - fornecimento e instalação</v>
      </c>
      <c r="C424" s="41" t="s">
        <v>56</v>
      </c>
      <c r="D424" s="158">
        <f>SUM(D425:D431)</f>
        <v>24</v>
      </c>
      <c r="E424" s="158"/>
      <c r="F424" s="158"/>
      <c r="G424" s="158"/>
      <c r="H424" s="158"/>
      <c r="I424" s="158"/>
      <c r="J424" s="158"/>
      <c r="K424" s="158"/>
      <c r="L424" s="515">
        <f>D424</f>
        <v>24</v>
      </c>
    </row>
    <row r="425" spans="1:12" x14ac:dyDescent="0.25">
      <c r="A425" s="579"/>
      <c r="B425" s="204" t="s">
        <v>433</v>
      </c>
      <c r="C425" s="205"/>
      <c r="D425" s="208">
        <v>2</v>
      </c>
      <c r="E425" s="205"/>
      <c r="F425" s="205"/>
      <c r="G425" s="205"/>
      <c r="H425" s="205"/>
      <c r="I425" s="205"/>
      <c r="J425" s="205"/>
      <c r="K425" s="205"/>
      <c r="L425" s="539"/>
    </row>
    <row r="426" spans="1:12" x14ac:dyDescent="0.25">
      <c r="A426" s="579"/>
      <c r="B426" s="344" t="s">
        <v>195</v>
      </c>
      <c r="C426" s="345"/>
      <c r="D426" s="208">
        <v>2</v>
      </c>
      <c r="E426" s="345"/>
      <c r="F426" s="345"/>
      <c r="G426" s="345"/>
      <c r="H426" s="345"/>
      <c r="I426" s="345"/>
      <c r="J426" s="345"/>
      <c r="K426" s="345"/>
      <c r="L426" s="537"/>
    </row>
    <row r="427" spans="1:12" x14ac:dyDescent="0.25">
      <c r="A427" s="579"/>
      <c r="B427" s="344" t="s">
        <v>196</v>
      </c>
      <c r="C427" s="345"/>
      <c r="D427" s="208">
        <v>4</v>
      </c>
      <c r="E427" s="345"/>
      <c r="F427" s="345"/>
      <c r="G427" s="345"/>
      <c r="H427" s="345"/>
      <c r="I427" s="345"/>
      <c r="J427" s="345"/>
      <c r="K427" s="345"/>
      <c r="L427" s="537"/>
    </row>
    <row r="428" spans="1:12" x14ac:dyDescent="0.25">
      <c r="A428" s="579"/>
      <c r="B428" s="344" t="s">
        <v>197</v>
      </c>
      <c r="C428" s="345"/>
      <c r="D428" s="208">
        <v>4</v>
      </c>
      <c r="E428" s="345"/>
      <c r="F428" s="345"/>
      <c r="G428" s="345"/>
      <c r="H428" s="345"/>
      <c r="I428" s="345"/>
      <c r="J428" s="345"/>
      <c r="K428" s="345"/>
      <c r="L428" s="537"/>
    </row>
    <row r="429" spans="1:12" x14ac:dyDescent="0.25">
      <c r="A429" s="579"/>
      <c r="B429" s="344" t="s">
        <v>387</v>
      </c>
      <c r="C429" s="345"/>
      <c r="D429" s="208">
        <v>4</v>
      </c>
      <c r="E429" s="345"/>
      <c r="F429" s="345"/>
      <c r="G429" s="345"/>
      <c r="H429" s="345"/>
      <c r="I429" s="345"/>
      <c r="J429" s="345"/>
      <c r="K429" s="345"/>
      <c r="L429" s="537"/>
    </row>
    <row r="430" spans="1:12" x14ac:dyDescent="0.25">
      <c r="A430" s="579"/>
      <c r="B430" s="344" t="s">
        <v>236</v>
      </c>
      <c r="C430" s="345"/>
      <c r="D430" s="208">
        <v>4</v>
      </c>
      <c r="E430" s="345"/>
      <c r="F430" s="345"/>
      <c r="G430" s="345"/>
      <c r="H430" s="345"/>
      <c r="I430" s="345"/>
      <c r="J430" s="345"/>
      <c r="K430" s="345"/>
      <c r="L430" s="537"/>
    </row>
    <row r="431" spans="1:12" x14ac:dyDescent="0.25">
      <c r="A431" s="619"/>
      <c r="B431" s="206" t="s">
        <v>434</v>
      </c>
      <c r="C431" s="207"/>
      <c r="D431" s="209">
        <v>4</v>
      </c>
      <c r="E431" s="207"/>
      <c r="F431" s="207"/>
      <c r="G431" s="207"/>
      <c r="H431" s="207"/>
      <c r="I431" s="207"/>
      <c r="J431" s="207"/>
      <c r="K431" s="207"/>
      <c r="L431" s="540"/>
    </row>
    <row r="432" spans="1:12" x14ac:dyDescent="0.25">
      <c r="A432" s="154" t="s">
        <v>304</v>
      </c>
      <c r="B432" s="56" t="str">
        <f>'PLANILHA ORÇAMENTÁRIA'!D107</f>
        <v xml:space="preserve">INTERRUPTORES E TOMADAS </v>
      </c>
      <c r="C432" s="57"/>
      <c r="D432" s="58"/>
      <c r="E432" s="58"/>
      <c r="F432" s="58"/>
      <c r="G432" s="58"/>
      <c r="H432" s="58"/>
      <c r="I432" s="58"/>
      <c r="J432" s="58"/>
      <c r="K432" s="58"/>
      <c r="L432" s="59"/>
    </row>
    <row r="433" spans="1:12" x14ac:dyDescent="0.25">
      <c r="A433" s="576" t="s">
        <v>305</v>
      </c>
      <c r="B433" s="49" t="str">
        <f>'PLANILHA ORÇAMENTÁRIA'!D108</f>
        <v>Interruptor de uma tecla simples 10A/250V, com placa 4x2"</v>
      </c>
      <c r="C433" s="50" t="s">
        <v>56</v>
      </c>
      <c r="D433" s="51">
        <f>SUM(D434:D457)</f>
        <v>24</v>
      </c>
      <c r="E433" s="51"/>
      <c r="F433" s="51"/>
      <c r="G433" s="51"/>
      <c r="H433" s="51"/>
      <c r="I433" s="51"/>
      <c r="J433" s="51"/>
      <c r="K433" s="51"/>
      <c r="L433" s="508">
        <f>D433</f>
        <v>24</v>
      </c>
    </row>
    <row r="434" spans="1:12" x14ac:dyDescent="0.25">
      <c r="A434" s="620"/>
      <c r="B434" s="182" t="s">
        <v>244</v>
      </c>
      <c r="C434" s="183"/>
      <c r="D434" s="200">
        <v>1</v>
      </c>
      <c r="E434" s="183"/>
      <c r="F434" s="183"/>
      <c r="G434" s="183"/>
      <c r="H434" s="183"/>
      <c r="I434" s="183"/>
      <c r="J434" s="183"/>
      <c r="K434" s="183"/>
      <c r="L434" s="534"/>
    </row>
    <row r="435" spans="1:12" x14ac:dyDescent="0.25">
      <c r="A435" s="579"/>
      <c r="B435" s="182" t="s">
        <v>189</v>
      </c>
      <c r="C435" s="183"/>
      <c r="D435" s="200">
        <v>1</v>
      </c>
      <c r="E435" s="183"/>
      <c r="F435" s="183"/>
      <c r="G435" s="183"/>
      <c r="H435" s="183"/>
      <c r="I435" s="183"/>
      <c r="J435" s="183"/>
      <c r="K435" s="183"/>
      <c r="L435" s="534"/>
    </row>
    <row r="436" spans="1:12" x14ac:dyDescent="0.25">
      <c r="A436" s="579"/>
      <c r="B436" s="182" t="s">
        <v>378</v>
      </c>
      <c r="C436" s="183"/>
      <c r="D436" s="200">
        <v>1</v>
      </c>
      <c r="E436" s="183"/>
      <c r="F436" s="183"/>
      <c r="G436" s="183"/>
      <c r="H436" s="183"/>
      <c r="I436" s="183"/>
      <c r="J436" s="183"/>
      <c r="K436" s="183"/>
      <c r="L436" s="534"/>
    </row>
    <row r="437" spans="1:12" x14ac:dyDescent="0.25">
      <c r="A437" s="579"/>
      <c r="B437" s="182" t="s">
        <v>200</v>
      </c>
      <c r="C437" s="183"/>
      <c r="D437" s="200">
        <v>1</v>
      </c>
      <c r="E437" s="183"/>
      <c r="F437" s="183"/>
      <c r="G437" s="183"/>
      <c r="H437" s="183"/>
      <c r="I437" s="183"/>
      <c r="J437" s="183"/>
      <c r="K437" s="183"/>
      <c r="L437" s="534"/>
    </row>
    <row r="438" spans="1:12" x14ac:dyDescent="0.25">
      <c r="A438" s="579"/>
      <c r="B438" s="182" t="s">
        <v>190</v>
      </c>
      <c r="C438" s="183"/>
      <c r="D438" s="200">
        <v>1</v>
      </c>
      <c r="E438" s="183"/>
      <c r="F438" s="183"/>
      <c r="G438" s="183"/>
      <c r="H438" s="183"/>
      <c r="I438" s="183"/>
      <c r="J438" s="183"/>
      <c r="K438" s="183"/>
      <c r="L438" s="534"/>
    </row>
    <row r="439" spans="1:12" x14ac:dyDescent="0.25">
      <c r="A439" s="579"/>
      <c r="B439" s="182" t="s">
        <v>374</v>
      </c>
      <c r="C439" s="183"/>
      <c r="D439" s="200">
        <v>1</v>
      </c>
      <c r="E439" s="183"/>
      <c r="F439" s="183"/>
      <c r="G439" s="183"/>
      <c r="H439" s="183"/>
      <c r="I439" s="183"/>
      <c r="J439" s="183"/>
      <c r="K439" s="183"/>
      <c r="L439" s="534"/>
    </row>
    <row r="440" spans="1:12" x14ac:dyDescent="0.25">
      <c r="A440" s="579"/>
      <c r="B440" s="182" t="s">
        <v>375</v>
      </c>
      <c r="C440" s="183"/>
      <c r="D440" s="200">
        <v>1</v>
      </c>
      <c r="E440" s="183"/>
      <c r="F440" s="183"/>
      <c r="G440" s="183"/>
      <c r="H440" s="183"/>
      <c r="I440" s="183"/>
      <c r="J440" s="183"/>
      <c r="K440" s="183"/>
      <c r="L440" s="534"/>
    </row>
    <row r="441" spans="1:12" x14ac:dyDescent="0.25">
      <c r="A441" s="579"/>
      <c r="B441" s="182" t="s">
        <v>201</v>
      </c>
      <c r="C441" s="183"/>
      <c r="D441" s="200">
        <v>1</v>
      </c>
      <c r="E441" s="183"/>
      <c r="F441" s="183"/>
      <c r="G441" s="183"/>
      <c r="H441" s="183"/>
      <c r="I441" s="183"/>
      <c r="J441" s="183"/>
      <c r="K441" s="183"/>
      <c r="L441" s="534"/>
    </row>
    <row r="442" spans="1:12" x14ac:dyDescent="0.25">
      <c r="A442" s="579"/>
      <c r="B442" s="182" t="s">
        <v>414</v>
      </c>
      <c r="C442" s="183"/>
      <c r="D442" s="200">
        <v>1</v>
      </c>
      <c r="E442" s="183"/>
      <c r="F442" s="183"/>
      <c r="G442" s="183"/>
      <c r="H442" s="183"/>
      <c r="I442" s="183"/>
      <c r="J442" s="183"/>
      <c r="K442" s="183"/>
      <c r="L442" s="534"/>
    </row>
    <row r="443" spans="1:12" x14ac:dyDescent="0.25">
      <c r="A443" s="579"/>
      <c r="B443" s="182" t="s">
        <v>247</v>
      </c>
      <c r="C443" s="183"/>
      <c r="D443" s="200">
        <v>1</v>
      </c>
      <c r="E443" s="183"/>
      <c r="F443" s="183"/>
      <c r="G443" s="183"/>
      <c r="H443" s="183"/>
      <c r="I443" s="183"/>
      <c r="J443" s="183"/>
      <c r="K443" s="183"/>
      <c r="L443" s="534"/>
    </row>
    <row r="444" spans="1:12" x14ac:dyDescent="0.25">
      <c r="A444" s="579"/>
      <c r="B444" s="182" t="s">
        <v>410</v>
      </c>
      <c r="C444" s="183"/>
      <c r="D444" s="200">
        <v>1</v>
      </c>
      <c r="E444" s="183"/>
      <c r="F444" s="183"/>
      <c r="G444" s="183"/>
      <c r="H444" s="183"/>
      <c r="I444" s="183"/>
      <c r="J444" s="183"/>
      <c r="K444" s="183"/>
      <c r="L444" s="534"/>
    </row>
    <row r="445" spans="1:12" x14ac:dyDescent="0.25">
      <c r="A445" s="579"/>
      <c r="B445" s="182" t="s">
        <v>409</v>
      </c>
      <c r="C445" s="183"/>
      <c r="D445" s="200">
        <v>1</v>
      </c>
      <c r="E445" s="183"/>
      <c r="F445" s="183"/>
      <c r="G445" s="183"/>
      <c r="H445" s="183"/>
      <c r="I445" s="183"/>
      <c r="J445" s="183"/>
      <c r="K445" s="183"/>
      <c r="L445" s="534"/>
    </row>
    <row r="446" spans="1:12" x14ac:dyDescent="0.25">
      <c r="A446" s="579"/>
      <c r="B446" s="182" t="s">
        <v>248</v>
      </c>
      <c r="C446" s="183"/>
      <c r="D446" s="200">
        <v>1</v>
      </c>
      <c r="E446" s="183"/>
      <c r="F446" s="183"/>
      <c r="G446" s="183"/>
      <c r="H446" s="183"/>
      <c r="I446" s="183"/>
      <c r="J446" s="183"/>
      <c r="K446" s="183"/>
      <c r="L446" s="534"/>
    </row>
    <row r="447" spans="1:12" x14ac:dyDescent="0.25">
      <c r="A447" s="579"/>
      <c r="B447" s="182" t="s">
        <v>249</v>
      </c>
      <c r="C447" s="183"/>
      <c r="D447" s="200">
        <v>1</v>
      </c>
      <c r="E447" s="183"/>
      <c r="F447" s="183"/>
      <c r="G447" s="183"/>
      <c r="H447" s="183"/>
      <c r="I447" s="183"/>
      <c r="J447" s="183"/>
      <c r="K447" s="183"/>
      <c r="L447" s="534"/>
    </row>
    <row r="448" spans="1:12" x14ac:dyDescent="0.25">
      <c r="A448" s="579"/>
      <c r="B448" s="182" t="s">
        <v>191</v>
      </c>
      <c r="C448" s="183"/>
      <c r="D448" s="200">
        <v>1</v>
      </c>
      <c r="E448" s="183"/>
      <c r="F448" s="183"/>
      <c r="G448" s="183"/>
      <c r="H448" s="183"/>
      <c r="I448" s="183"/>
      <c r="J448" s="183"/>
      <c r="K448" s="183"/>
      <c r="L448" s="534"/>
    </row>
    <row r="449" spans="1:12" x14ac:dyDescent="0.25">
      <c r="A449" s="579"/>
      <c r="B449" s="182" t="s">
        <v>192</v>
      </c>
      <c r="C449" s="183"/>
      <c r="D449" s="200">
        <v>1</v>
      </c>
      <c r="E449" s="183"/>
      <c r="F449" s="183"/>
      <c r="G449" s="183"/>
      <c r="H449" s="183"/>
      <c r="I449" s="183"/>
      <c r="J449" s="183"/>
      <c r="K449" s="183"/>
      <c r="L449" s="534"/>
    </row>
    <row r="450" spans="1:12" x14ac:dyDescent="0.25">
      <c r="A450" s="579"/>
      <c r="B450" s="182" t="s">
        <v>202</v>
      </c>
      <c r="C450" s="183"/>
      <c r="D450" s="200">
        <v>1</v>
      </c>
      <c r="E450" s="183"/>
      <c r="F450" s="183"/>
      <c r="G450" s="183"/>
      <c r="H450" s="183"/>
      <c r="I450" s="183"/>
      <c r="J450" s="183"/>
      <c r="K450" s="183"/>
      <c r="L450" s="534"/>
    </row>
    <row r="451" spans="1:12" x14ac:dyDescent="0.25">
      <c r="A451" s="579"/>
      <c r="B451" s="182" t="s">
        <v>193</v>
      </c>
      <c r="C451" s="183"/>
      <c r="D451" s="200">
        <v>1</v>
      </c>
      <c r="E451" s="183"/>
      <c r="F451" s="183"/>
      <c r="G451" s="183"/>
      <c r="H451" s="183"/>
      <c r="I451" s="183"/>
      <c r="J451" s="183"/>
      <c r="K451" s="183"/>
      <c r="L451" s="534"/>
    </row>
    <row r="452" spans="1:12" x14ac:dyDescent="0.25">
      <c r="A452" s="579"/>
      <c r="B452" s="182" t="s">
        <v>377</v>
      </c>
      <c r="C452" s="183"/>
      <c r="D452" s="200">
        <v>1</v>
      </c>
      <c r="E452" s="183"/>
      <c r="F452" s="183"/>
      <c r="G452" s="183"/>
      <c r="H452" s="183"/>
      <c r="I452" s="183"/>
      <c r="J452" s="183"/>
      <c r="K452" s="183"/>
      <c r="L452" s="534"/>
    </row>
    <row r="453" spans="1:12" x14ac:dyDescent="0.25">
      <c r="A453" s="579"/>
      <c r="B453" s="182" t="s">
        <v>203</v>
      </c>
      <c r="C453" s="183"/>
      <c r="D453" s="200">
        <v>1</v>
      </c>
      <c r="E453" s="183"/>
      <c r="F453" s="183"/>
      <c r="G453" s="183"/>
      <c r="H453" s="183"/>
      <c r="I453" s="183"/>
      <c r="J453" s="183"/>
      <c r="K453" s="183"/>
      <c r="L453" s="534"/>
    </row>
    <row r="454" spans="1:12" x14ac:dyDescent="0.25">
      <c r="A454" s="579"/>
      <c r="B454" s="182" t="s">
        <v>194</v>
      </c>
      <c r="C454" s="183"/>
      <c r="D454" s="200">
        <v>1</v>
      </c>
      <c r="E454" s="183"/>
      <c r="F454" s="183"/>
      <c r="G454" s="183"/>
      <c r="H454" s="183"/>
      <c r="I454" s="183"/>
      <c r="J454" s="183"/>
      <c r="K454" s="183"/>
      <c r="L454" s="534"/>
    </row>
    <row r="455" spans="1:12" x14ac:dyDescent="0.25">
      <c r="A455" s="579"/>
      <c r="B455" s="182" t="s">
        <v>195</v>
      </c>
      <c r="C455" s="183"/>
      <c r="D455" s="200">
        <v>1</v>
      </c>
      <c r="E455" s="183"/>
      <c r="F455" s="183"/>
      <c r="G455" s="183"/>
      <c r="H455" s="183"/>
      <c r="I455" s="183"/>
      <c r="J455" s="183"/>
      <c r="K455" s="183"/>
      <c r="L455" s="534"/>
    </row>
    <row r="456" spans="1:12" x14ac:dyDescent="0.25">
      <c r="A456" s="579"/>
      <c r="B456" s="182" t="s">
        <v>197</v>
      </c>
      <c r="C456" s="183"/>
      <c r="D456" s="200">
        <v>1</v>
      </c>
      <c r="E456" s="183"/>
      <c r="F456" s="183"/>
      <c r="G456" s="183"/>
      <c r="H456" s="183"/>
      <c r="I456" s="183"/>
      <c r="J456" s="183"/>
      <c r="K456" s="183"/>
      <c r="L456" s="534"/>
    </row>
    <row r="457" spans="1:12" x14ac:dyDescent="0.25">
      <c r="A457" s="585"/>
      <c r="B457" s="346" t="s">
        <v>387</v>
      </c>
      <c r="C457" s="347"/>
      <c r="D457" s="306">
        <v>1</v>
      </c>
      <c r="E457" s="347"/>
      <c r="F457" s="347"/>
      <c r="G457" s="347"/>
      <c r="H457" s="347"/>
      <c r="I457" s="347"/>
      <c r="J457" s="347"/>
      <c r="K457" s="347"/>
      <c r="L457" s="541"/>
    </row>
    <row r="458" spans="1:12" x14ac:dyDescent="0.25">
      <c r="A458" s="576" t="s">
        <v>618</v>
      </c>
      <c r="B458" s="49" t="str">
        <f>'PLANILHA ORÇAMENTÁRIA'!D109</f>
        <v>Tomada para telefone RJ11 - fornecimento e instalação</v>
      </c>
      <c r="C458" s="50" t="s">
        <v>56</v>
      </c>
      <c r="D458" s="51">
        <f>SUM(D459:D476)</f>
        <v>18</v>
      </c>
      <c r="E458" s="51"/>
      <c r="F458" s="51"/>
      <c r="G458" s="51"/>
      <c r="H458" s="51"/>
      <c r="I458" s="51"/>
      <c r="J458" s="51"/>
      <c r="K458" s="51"/>
      <c r="L458" s="508">
        <f>D458</f>
        <v>18</v>
      </c>
    </row>
    <row r="459" spans="1:12" x14ac:dyDescent="0.25">
      <c r="A459" s="590"/>
      <c r="B459" s="204" t="s">
        <v>244</v>
      </c>
      <c r="C459" s="205"/>
      <c r="D459" s="208">
        <v>1</v>
      </c>
      <c r="E459" s="205"/>
      <c r="F459" s="205"/>
      <c r="G459" s="205"/>
      <c r="H459" s="205"/>
      <c r="I459" s="205"/>
      <c r="J459" s="205"/>
      <c r="K459" s="205"/>
      <c r="L459" s="539"/>
    </row>
    <row r="460" spans="1:12" x14ac:dyDescent="0.25">
      <c r="A460" s="590"/>
      <c r="B460" s="204" t="s">
        <v>190</v>
      </c>
      <c r="C460" s="205"/>
      <c r="D460" s="208">
        <v>1</v>
      </c>
      <c r="E460" s="205"/>
      <c r="F460" s="205"/>
      <c r="G460" s="205"/>
      <c r="H460" s="205"/>
      <c r="I460" s="205"/>
      <c r="J460" s="205"/>
      <c r="K460" s="205"/>
      <c r="L460" s="539"/>
    </row>
    <row r="461" spans="1:12" x14ac:dyDescent="0.25">
      <c r="A461" s="590"/>
      <c r="B461" s="344" t="s">
        <v>414</v>
      </c>
      <c r="C461" s="345"/>
      <c r="D461" s="208">
        <v>1</v>
      </c>
      <c r="E461" s="345"/>
      <c r="F461" s="345"/>
      <c r="G461" s="345"/>
      <c r="H461" s="345"/>
      <c r="I461" s="345"/>
      <c r="J461" s="345"/>
      <c r="K461" s="345"/>
      <c r="L461" s="537"/>
    </row>
    <row r="462" spans="1:12" x14ac:dyDescent="0.25">
      <c r="A462" s="590"/>
      <c r="B462" s="344" t="s">
        <v>247</v>
      </c>
      <c r="C462" s="345"/>
      <c r="D462" s="208">
        <v>1</v>
      </c>
      <c r="E462" s="345"/>
      <c r="F462" s="345"/>
      <c r="G462" s="345"/>
      <c r="H462" s="345"/>
      <c r="I462" s="345"/>
      <c r="J462" s="345"/>
      <c r="K462" s="345"/>
      <c r="L462" s="537"/>
    </row>
    <row r="463" spans="1:12" x14ac:dyDescent="0.25">
      <c r="A463" s="590"/>
      <c r="B463" s="344" t="s">
        <v>409</v>
      </c>
      <c r="C463" s="345"/>
      <c r="D463" s="208">
        <v>1</v>
      </c>
      <c r="E463" s="345"/>
      <c r="F463" s="345"/>
      <c r="G463" s="345"/>
      <c r="H463" s="345"/>
      <c r="I463" s="345"/>
      <c r="J463" s="345"/>
      <c r="K463" s="345"/>
      <c r="L463" s="537"/>
    </row>
    <row r="464" spans="1:12" x14ac:dyDescent="0.25">
      <c r="A464" s="590"/>
      <c r="B464" s="344" t="s">
        <v>410</v>
      </c>
      <c r="C464" s="345"/>
      <c r="D464" s="208">
        <v>1</v>
      </c>
      <c r="E464" s="345"/>
      <c r="F464" s="345"/>
      <c r="G464" s="345"/>
      <c r="H464" s="345"/>
      <c r="I464" s="345"/>
      <c r="J464" s="345"/>
      <c r="K464" s="345"/>
      <c r="L464" s="537"/>
    </row>
    <row r="465" spans="1:12" x14ac:dyDescent="0.25">
      <c r="A465" s="590"/>
      <c r="B465" s="344" t="s">
        <v>389</v>
      </c>
      <c r="C465" s="345"/>
      <c r="D465" s="208">
        <v>1</v>
      </c>
      <c r="E465" s="345"/>
      <c r="F465" s="345"/>
      <c r="G465" s="345"/>
      <c r="H465" s="345"/>
      <c r="I465" s="345"/>
      <c r="J465" s="345"/>
      <c r="K465" s="345"/>
      <c r="L465" s="537"/>
    </row>
    <row r="466" spans="1:12" x14ac:dyDescent="0.25">
      <c r="A466" s="590"/>
      <c r="B466" s="344" t="s">
        <v>248</v>
      </c>
      <c r="C466" s="345"/>
      <c r="D466" s="208">
        <v>1</v>
      </c>
      <c r="E466" s="345"/>
      <c r="F466" s="345"/>
      <c r="G466" s="345"/>
      <c r="H466" s="345"/>
      <c r="I466" s="345"/>
      <c r="J466" s="345"/>
      <c r="K466" s="345"/>
      <c r="L466" s="537"/>
    </row>
    <row r="467" spans="1:12" x14ac:dyDescent="0.25">
      <c r="A467" s="590"/>
      <c r="B467" s="344" t="s">
        <v>249</v>
      </c>
      <c r="C467" s="345"/>
      <c r="D467" s="208">
        <v>1</v>
      </c>
      <c r="E467" s="345"/>
      <c r="F467" s="345"/>
      <c r="G467" s="345"/>
      <c r="H467" s="345"/>
      <c r="I467" s="345"/>
      <c r="J467" s="345"/>
      <c r="K467" s="345"/>
      <c r="L467" s="537"/>
    </row>
    <row r="468" spans="1:12" x14ac:dyDescent="0.25">
      <c r="A468" s="590"/>
      <c r="B468" s="344" t="s">
        <v>191</v>
      </c>
      <c r="C468" s="345"/>
      <c r="D468" s="208">
        <v>1</v>
      </c>
      <c r="E468" s="345"/>
      <c r="F468" s="345"/>
      <c r="G468" s="345"/>
      <c r="H468" s="345"/>
      <c r="I468" s="345"/>
      <c r="J468" s="345"/>
      <c r="K468" s="345"/>
      <c r="L468" s="537"/>
    </row>
    <row r="469" spans="1:12" x14ac:dyDescent="0.25">
      <c r="A469" s="590"/>
      <c r="B469" s="344" t="s">
        <v>192</v>
      </c>
      <c r="C469" s="345"/>
      <c r="D469" s="208">
        <v>1</v>
      </c>
      <c r="E469" s="345"/>
      <c r="F469" s="345"/>
      <c r="G469" s="345"/>
      <c r="H469" s="345"/>
      <c r="I469" s="345"/>
      <c r="J469" s="345"/>
      <c r="K469" s="345"/>
      <c r="L469" s="537"/>
    </row>
    <row r="470" spans="1:12" x14ac:dyDescent="0.25">
      <c r="A470" s="590"/>
      <c r="B470" s="344" t="s">
        <v>388</v>
      </c>
      <c r="C470" s="345"/>
      <c r="D470" s="208">
        <v>1</v>
      </c>
      <c r="E470" s="345"/>
      <c r="F470" s="345"/>
      <c r="G470" s="345"/>
      <c r="H470" s="345"/>
      <c r="I470" s="345"/>
      <c r="J470" s="345"/>
      <c r="K470" s="345"/>
      <c r="L470" s="537"/>
    </row>
    <row r="471" spans="1:12" x14ac:dyDescent="0.25">
      <c r="A471" s="590"/>
      <c r="B471" s="344" t="s">
        <v>250</v>
      </c>
      <c r="C471" s="345"/>
      <c r="D471" s="208">
        <v>1</v>
      </c>
      <c r="E471" s="345"/>
      <c r="F471" s="345"/>
      <c r="G471" s="345"/>
      <c r="H471" s="345"/>
      <c r="I471" s="345"/>
      <c r="J471" s="345"/>
      <c r="K471" s="345"/>
      <c r="L471" s="537"/>
    </row>
    <row r="472" spans="1:12" x14ac:dyDescent="0.25">
      <c r="A472" s="590"/>
      <c r="B472" s="344" t="s">
        <v>196</v>
      </c>
      <c r="C472" s="345"/>
      <c r="D472" s="208">
        <v>1</v>
      </c>
      <c r="E472" s="345"/>
      <c r="F472" s="345"/>
      <c r="G472" s="345"/>
      <c r="H472" s="345"/>
      <c r="I472" s="345"/>
      <c r="J472" s="345"/>
      <c r="K472" s="345"/>
      <c r="L472" s="537"/>
    </row>
    <row r="473" spans="1:12" x14ac:dyDescent="0.25">
      <c r="A473" s="590"/>
      <c r="B473" s="344" t="s">
        <v>197</v>
      </c>
      <c r="C473" s="345"/>
      <c r="D473" s="208">
        <v>1</v>
      </c>
      <c r="E473" s="345"/>
      <c r="F473" s="345"/>
      <c r="G473" s="345"/>
      <c r="H473" s="345"/>
      <c r="I473" s="345"/>
      <c r="J473" s="345"/>
      <c r="K473" s="345"/>
      <c r="L473" s="537"/>
    </row>
    <row r="474" spans="1:12" x14ac:dyDescent="0.25">
      <c r="A474" s="590"/>
      <c r="B474" s="344" t="s">
        <v>387</v>
      </c>
      <c r="C474" s="345"/>
      <c r="D474" s="208">
        <v>1</v>
      </c>
      <c r="E474" s="345"/>
      <c r="F474" s="345"/>
      <c r="G474" s="345"/>
      <c r="H474" s="345"/>
      <c r="I474" s="345"/>
      <c r="J474" s="345"/>
      <c r="K474" s="345"/>
      <c r="L474" s="537"/>
    </row>
    <row r="475" spans="1:12" x14ac:dyDescent="0.25">
      <c r="A475" s="590"/>
      <c r="B475" s="344" t="s">
        <v>236</v>
      </c>
      <c r="C475" s="345"/>
      <c r="D475" s="208">
        <v>1</v>
      </c>
      <c r="E475" s="345"/>
      <c r="F475" s="345"/>
      <c r="G475" s="345"/>
      <c r="H475" s="345"/>
      <c r="I475" s="345"/>
      <c r="J475" s="345"/>
      <c r="K475" s="345"/>
      <c r="L475" s="537"/>
    </row>
    <row r="476" spans="1:12" x14ac:dyDescent="0.25">
      <c r="A476" s="604"/>
      <c r="B476" s="350" t="s">
        <v>390</v>
      </c>
      <c r="C476" s="351"/>
      <c r="D476" s="210">
        <v>1</v>
      </c>
      <c r="E476" s="351"/>
      <c r="F476" s="351"/>
      <c r="G476" s="351"/>
      <c r="H476" s="351"/>
      <c r="I476" s="351"/>
      <c r="J476" s="351"/>
      <c r="K476" s="351"/>
      <c r="L476" s="538"/>
    </row>
    <row r="477" spans="1:12" x14ac:dyDescent="0.25">
      <c r="A477" s="576" t="s">
        <v>619</v>
      </c>
      <c r="B477" s="130" t="str">
        <f>'PLANILHA ORÇAMENTÁRIA'!D110</f>
        <v>Tomada de rede RJ 45 - fornecimento e instalação</v>
      </c>
      <c r="C477" s="41" t="s">
        <v>56</v>
      </c>
      <c r="D477" s="43">
        <f>SUM(D478:D494)</f>
        <v>42</v>
      </c>
      <c r="E477" s="43"/>
      <c r="F477" s="43"/>
      <c r="G477" s="43"/>
      <c r="H477" s="43"/>
      <c r="I477" s="43"/>
      <c r="J477" s="43"/>
      <c r="K477" s="43"/>
      <c r="L477" s="519">
        <f>D477</f>
        <v>42</v>
      </c>
    </row>
    <row r="478" spans="1:12" x14ac:dyDescent="0.25">
      <c r="A478" s="574"/>
      <c r="B478" s="198" t="s">
        <v>391</v>
      </c>
      <c r="C478" s="199"/>
      <c r="D478" s="200">
        <v>1</v>
      </c>
      <c r="E478" s="199"/>
      <c r="F478" s="199"/>
      <c r="G478" s="199"/>
      <c r="H478" s="199"/>
      <c r="I478" s="199"/>
      <c r="J478" s="199"/>
      <c r="K478" s="199"/>
      <c r="L478" s="529"/>
    </row>
    <row r="479" spans="1:12" x14ac:dyDescent="0.25">
      <c r="A479" s="574"/>
      <c r="B479" s="182" t="s">
        <v>392</v>
      </c>
      <c r="C479" s="183"/>
      <c r="D479" s="200">
        <v>2</v>
      </c>
      <c r="E479" s="183"/>
      <c r="F479" s="183"/>
      <c r="G479" s="183"/>
      <c r="H479" s="183"/>
      <c r="I479" s="183"/>
      <c r="J479" s="183"/>
      <c r="K479" s="183"/>
      <c r="L479" s="534"/>
    </row>
    <row r="480" spans="1:12" x14ac:dyDescent="0.25">
      <c r="A480" s="574"/>
      <c r="B480" s="182" t="s">
        <v>393</v>
      </c>
      <c r="C480" s="183"/>
      <c r="D480" s="200">
        <v>2</v>
      </c>
      <c r="E480" s="183"/>
      <c r="F480" s="183"/>
      <c r="G480" s="183"/>
      <c r="H480" s="183"/>
      <c r="I480" s="183"/>
      <c r="J480" s="183"/>
      <c r="K480" s="183"/>
      <c r="L480" s="534"/>
    </row>
    <row r="481" spans="1:12" x14ac:dyDescent="0.25">
      <c r="A481" s="574"/>
      <c r="B481" s="198" t="s">
        <v>415</v>
      </c>
      <c r="C481" s="199"/>
      <c r="D481" s="200">
        <v>2</v>
      </c>
      <c r="E481" s="199"/>
      <c r="F481" s="199"/>
      <c r="G481" s="199"/>
      <c r="H481" s="199"/>
      <c r="I481" s="199"/>
      <c r="J481" s="199"/>
      <c r="K481" s="199"/>
      <c r="L481" s="529"/>
    </row>
    <row r="482" spans="1:12" x14ac:dyDescent="0.25">
      <c r="A482" s="574"/>
      <c r="B482" s="182" t="s">
        <v>416</v>
      </c>
      <c r="C482" s="183"/>
      <c r="D482" s="200">
        <v>2</v>
      </c>
      <c r="E482" s="183"/>
      <c r="F482" s="183"/>
      <c r="G482" s="183"/>
      <c r="H482" s="183"/>
      <c r="I482" s="183"/>
      <c r="J482" s="183"/>
      <c r="K482" s="183"/>
      <c r="L482" s="534"/>
    </row>
    <row r="483" spans="1:12" x14ac:dyDescent="0.25">
      <c r="A483" s="574"/>
      <c r="B483" s="182" t="s">
        <v>417</v>
      </c>
      <c r="C483" s="183"/>
      <c r="D483" s="200">
        <v>2</v>
      </c>
      <c r="E483" s="183"/>
      <c r="F483" s="183"/>
      <c r="G483" s="183"/>
      <c r="H483" s="183"/>
      <c r="I483" s="183"/>
      <c r="J483" s="183"/>
      <c r="K483" s="183"/>
      <c r="L483" s="534"/>
    </row>
    <row r="484" spans="1:12" x14ac:dyDescent="0.25">
      <c r="A484" s="574"/>
      <c r="B484" s="182" t="s">
        <v>394</v>
      </c>
      <c r="C484" s="183"/>
      <c r="D484" s="200">
        <v>1</v>
      </c>
      <c r="E484" s="183"/>
      <c r="F484" s="183"/>
      <c r="G484" s="183"/>
      <c r="H484" s="183"/>
      <c r="I484" s="183"/>
      <c r="J484" s="183"/>
      <c r="K484" s="183"/>
      <c r="L484" s="534"/>
    </row>
    <row r="485" spans="1:12" x14ac:dyDescent="0.25">
      <c r="A485" s="574"/>
      <c r="B485" s="182" t="s">
        <v>395</v>
      </c>
      <c r="C485" s="183"/>
      <c r="D485" s="200">
        <v>1</v>
      </c>
      <c r="E485" s="183"/>
      <c r="F485" s="183"/>
      <c r="G485" s="183"/>
      <c r="H485" s="183"/>
      <c r="I485" s="183"/>
      <c r="J485" s="183"/>
      <c r="K485" s="183"/>
      <c r="L485" s="534"/>
    </row>
    <row r="486" spans="1:12" x14ac:dyDescent="0.25">
      <c r="A486" s="574"/>
      <c r="B486" s="182" t="s">
        <v>379</v>
      </c>
      <c r="C486" s="183"/>
      <c r="D486" s="200">
        <v>2</v>
      </c>
      <c r="E486" s="183"/>
      <c r="F486" s="183"/>
      <c r="G486" s="183"/>
      <c r="H486" s="183"/>
      <c r="I486" s="183"/>
      <c r="J486" s="183"/>
      <c r="K486" s="183"/>
      <c r="L486" s="534"/>
    </row>
    <row r="487" spans="1:12" x14ac:dyDescent="0.25">
      <c r="A487" s="574"/>
      <c r="B487" s="182" t="s">
        <v>396</v>
      </c>
      <c r="C487" s="183"/>
      <c r="D487" s="200">
        <v>1</v>
      </c>
      <c r="E487" s="183"/>
      <c r="F487" s="183"/>
      <c r="G487" s="183"/>
      <c r="H487" s="183"/>
      <c r="I487" s="183"/>
      <c r="J487" s="183"/>
      <c r="K487" s="183"/>
      <c r="L487" s="534"/>
    </row>
    <row r="488" spans="1:12" x14ac:dyDescent="0.25">
      <c r="A488" s="574"/>
      <c r="B488" s="182" t="s">
        <v>380</v>
      </c>
      <c r="C488" s="183"/>
      <c r="D488" s="200">
        <v>3</v>
      </c>
      <c r="E488" s="183"/>
      <c r="F488" s="183"/>
      <c r="G488" s="183"/>
      <c r="H488" s="183"/>
      <c r="I488" s="183"/>
      <c r="J488" s="183"/>
      <c r="K488" s="183"/>
      <c r="L488" s="534"/>
    </row>
    <row r="489" spans="1:12" x14ac:dyDescent="0.25">
      <c r="A489" s="574"/>
      <c r="B489" s="182" t="s">
        <v>397</v>
      </c>
      <c r="C489" s="183"/>
      <c r="D489" s="200">
        <v>1</v>
      </c>
      <c r="E489" s="183"/>
      <c r="F489" s="183"/>
      <c r="G489" s="183"/>
      <c r="H489" s="183"/>
      <c r="I489" s="183"/>
      <c r="J489" s="183"/>
      <c r="K489" s="183"/>
      <c r="L489" s="534"/>
    </row>
    <row r="490" spans="1:12" x14ac:dyDescent="0.25">
      <c r="A490" s="574"/>
      <c r="B490" s="182" t="s">
        <v>381</v>
      </c>
      <c r="C490" s="183"/>
      <c r="D490" s="200">
        <v>3</v>
      </c>
      <c r="E490" s="183"/>
      <c r="F490" s="183"/>
      <c r="G490" s="183"/>
      <c r="H490" s="183"/>
      <c r="I490" s="183"/>
      <c r="J490" s="183"/>
      <c r="K490" s="183"/>
      <c r="L490" s="534"/>
    </row>
    <row r="491" spans="1:12" x14ac:dyDescent="0.25">
      <c r="A491" s="574"/>
      <c r="B491" s="182" t="s">
        <v>382</v>
      </c>
      <c r="C491" s="183"/>
      <c r="D491" s="200">
        <v>2</v>
      </c>
      <c r="E491" s="183"/>
      <c r="F491" s="183"/>
      <c r="G491" s="183"/>
      <c r="H491" s="183"/>
      <c r="I491" s="183"/>
      <c r="J491" s="183"/>
      <c r="K491" s="183"/>
      <c r="L491" s="534"/>
    </row>
    <row r="492" spans="1:12" x14ac:dyDescent="0.25">
      <c r="A492" s="574"/>
      <c r="B492" s="198" t="s">
        <v>383</v>
      </c>
      <c r="C492" s="199"/>
      <c r="D492" s="200">
        <v>3</v>
      </c>
      <c r="E492" s="199"/>
      <c r="F492" s="199"/>
      <c r="G492" s="199"/>
      <c r="H492" s="199"/>
      <c r="I492" s="199"/>
      <c r="J492" s="199"/>
      <c r="K492" s="199"/>
      <c r="L492" s="529"/>
    </row>
    <row r="493" spans="1:12" x14ac:dyDescent="0.25">
      <c r="A493" s="574"/>
      <c r="B493" s="159" t="s">
        <v>398</v>
      </c>
      <c r="C493" s="160"/>
      <c r="D493" s="211">
        <v>8</v>
      </c>
      <c r="E493" s="160"/>
      <c r="F493" s="160"/>
      <c r="G493" s="160"/>
      <c r="H493" s="160"/>
      <c r="I493" s="160"/>
      <c r="J493" s="160"/>
      <c r="K493" s="160"/>
      <c r="L493" s="543"/>
    </row>
    <row r="494" spans="1:12" x14ac:dyDescent="0.25">
      <c r="A494" s="574"/>
      <c r="B494" s="159" t="s">
        <v>399</v>
      </c>
      <c r="C494" s="160"/>
      <c r="D494" s="211">
        <v>6</v>
      </c>
      <c r="E494" s="160"/>
      <c r="F494" s="160"/>
      <c r="G494" s="160"/>
      <c r="H494" s="160"/>
      <c r="I494" s="160"/>
      <c r="J494" s="160"/>
      <c r="K494" s="160"/>
      <c r="L494" s="543"/>
    </row>
    <row r="495" spans="1:12" x14ac:dyDescent="0.25">
      <c r="A495" s="274" t="s">
        <v>306</v>
      </c>
      <c r="B495" s="275" t="s">
        <v>631</v>
      </c>
      <c r="C495" s="168"/>
      <c r="D495" s="169"/>
      <c r="E495" s="169"/>
      <c r="F495" s="169"/>
      <c r="G495" s="169"/>
      <c r="H495" s="169"/>
      <c r="I495" s="169"/>
      <c r="J495" s="169"/>
      <c r="K495" s="169"/>
      <c r="L495" s="170"/>
    </row>
    <row r="496" spans="1:12" x14ac:dyDescent="0.25">
      <c r="A496" s="576" t="s">
        <v>307</v>
      </c>
      <c r="B496" s="130" t="s">
        <v>153</v>
      </c>
      <c r="C496" s="41" t="s">
        <v>11</v>
      </c>
      <c r="D496" s="43"/>
      <c r="E496" s="43"/>
      <c r="F496" s="43"/>
      <c r="G496" s="43"/>
      <c r="H496" s="43">
        <f>SUM(H497:H497)</f>
        <v>55.46</v>
      </c>
      <c r="I496" s="43"/>
      <c r="J496" s="43"/>
      <c r="K496" s="43"/>
      <c r="L496" s="519">
        <f>H496</f>
        <v>55.46</v>
      </c>
    </row>
    <row r="497" spans="1:12" x14ac:dyDescent="0.25">
      <c r="A497" s="575"/>
      <c r="B497" s="217" t="s">
        <v>235</v>
      </c>
      <c r="C497" s="218"/>
      <c r="D497" s="218"/>
      <c r="E497" s="218"/>
      <c r="F497" s="218"/>
      <c r="G497" s="218"/>
      <c r="H497" s="222">
        <v>55.46</v>
      </c>
      <c r="I497" s="218"/>
      <c r="J497" s="218"/>
      <c r="K497" s="218"/>
      <c r="L497" s="510"/>
    </row>
    <row r="498" spans="1:12" x14ac:dyDescent="0.25">
      <c r="A498" s="576" t="s">
        <v>308</v>
      </c>
      <c r="B498" s="130" t="s">
        <v>154</v>
      </c>
      <c r="C498" s="41" t="s">
        <v>56</v>
      </c>
      <c r="D498" s="43">
        <f>D499</f>
        <v>10</v>
      </c>
      <c r="E498" s="43"/>
      <c r="F498" s="43"/>
      <c r="G498" s="43"/>
      <c r="H498" s="43"/>
      <c r="I498" s="43"/>
      <c r="J498" s="43"/>
      <c r="K498" s="43"/>
      <c r="L498" s="519">
        <f>D498</f>
        <v>10</v>
      </c>
    </row>
    <row r="499" spans="1:12" x14ac:dyDescent="0.25">
      <c r="A499" s="575"/>
      <c r="B499" s="259" t="s">
        <v>235</v>
      </c>
      <c r="C499" s="260"/>
      <c r="D499" s="261">
        <v>10</v>
      </c>
      <c r="E499" s="260"/>
      <c r="F499" s="260"/>
      <c r="G499" s="260"/>
      <c r="H499" s="260"/>
      <c r="I499" s="260"/>
      <c r="J499" s="260"/>
      <c r="K499" s="260"/>
      <c r="L499" s="562"/>
    </row>
    <row r="500" spans="1:12" x14ac:dyDescent="0.25">
      <c r="A500" s="576" t="s">
        <v>600</v>
      </c>
      <c r="B500" s="130" t="s">
        <v>156</v>
      </c>
      <c r="C500" s="41" t="s">
        <v>52</v>
      </c>
      <c r="D500" s="43"/>
      <c r="E500" s="43">
        <f>E501</f>
        <v>39.979999999999997</v>
      </c>
      <c r="F500" s="43"/>
      <c r="G500" s="43"/>
      <c r="H500" s="43"/>
      <c r="I500" s="43"/>
      <c r="J500" s="43"/>
      <c r="K500" s="43"/>
      <c r="L500" s="519">
        <f>E500</f>
        <v>39.979999999999997</v>
      </c>
    </row>
    <row r="501" spans="1:12" x14ac:dyDescent="0.25">
      <c r="A501" s="584"/>
      <c r="B501" s="217" t="s">
        <v>235</v>
      </c>
      <c r="C501" s="218"/>
      <c r="D501" s="218"/>
      <c r="E501" s="222">
        <v>39.979999999999997</v>
      </c>
      <c r="F501" s="218"/>
      <c r="G501" s="218"/>
      <c r="H501" s="218"/>
      <c r="I501" s="218"/>
      <c r="J501" s="218"/>
      <c r="K501" s="218"/>
      <c r="L501" s="510"/>
    </row>
    <row r="502" spans="1:12" x14ac:dyDescent="0.25">
      <c r="A502" s="274" t="s">
        <v>309</v>
      </c>
      <c r="B502" s="275" t="s">
        <v>145</v>
      </c>
      <c r="C502" s="168"/>
      <c r="D502" s="169"/>
      <c r="E502" s="169"/>
      <c r="F502" s="169"/>
      <c r="G502" s="169"/>
      <c r="H502" s="169"/>
      <c r="I502" s="169"/>
      <c r="J502" s="169"/>
      <c r="K502" s="169"/>
      <c r="L502" s="170"/>
    </row>
    <row r="503" spans="1:12" x14ac:dyDescent="0.25">
      <c r="A503" s="119" t="s">
        <v>310</v>
      </c>
      <c r="B503" s="64" t="s">
        <v>164</v>
      </c>
      <c r="C503" s="61"/>
      <c r="D503" s="62"/>
      <c r="E503" s="62"/>
      <c r="F503" s="62"/>
      <c r="G503" s="62"/>
      <c r="H503" s="62"/>
      <c r="I503" s="62"/>
      <c r="J503" s="62"/>
      <c r="K503" s="62"/>
      <c r="L503" s="63"/>
    </row>
    <row r="504" spans="1:12" ht="47.25" x14ac:dyDescent="0.25">
      <c r="A504" s="331" t="s">
        <v>620</v>
      </c>
      <c r="B504" s="330" t="str">
        <f>'PLANILHA ORÇAMENTÁRIA'!D117</f>
        <v>Pintura com tinta esmalte sintético, marcas de referência Suvinil, Coral ou Metalatex, inclusive fundo branco nivelador, em madeira, a duas demãos</v>
      </c>
      <c r="C504" s="145" t="s">
        <v>11</v>
      </c>
      <c r="D504" s="38"/>
      <c r="E504" s="38"/>
      <c r="F504" s="38"/>
      <c r="G504" s="38"/>
      <c r="H504" s="38">
        <f>H505</f>
        <v>42.56</v>
      </c>
      <c r="I504" s="38"/>
      <c r="J504" s="38"/>
      <c r="K504" s="38"/>
      <c r="L504" s="333">
        <f>H504</f>
        <v>42.56</v>
      </c>
    </row>
    <row r="505" spans="1:12" x14ac:dyDescent="0.25">
      <c r="A505" s="579"/>
      <c r="B505" s="334" t="s">
        <v>643</v>
      </c>
      <c r="C505" s="335"/>
      <c r="D505" s="335"/>
      <c r="E505" s="335"/>
      <c r="F505" s="335"/>
      <c r="G505" s="335"/>
      <c r="H505" s="211">
        <f>3.04*1.75*8</f>
        <v>42.56</v>
      </c>
      <c r="I505" s="335"/>
      <c r="J505" s="335"/>
      <c r="K505" s="335"/>
      <c r="L505" s="563"/>
    </row>
    <row r="506" spans="1:12" ht="31.5" x14ac:dyDescent="0.25">
      <c r="A506" s="331" t="s">
        <v>641</v>
      </c>
      <c r="B506" s="332" t="s">
        <v>163</v>
      </c>
      <c r="C506" s="145" t="s">
        <v>11</v>
      </c>
      <c r="D506" s="38"/>
      <c r="E506" s="38"/>
      <c r="F506" s="38"/>
      <c r="G506" s="38"/>
      <c r="H506" s="38">
        <f>SUM(H507:H514)</f>
        <v>113.3468</v>
      </c>
      <c r="I506" s="38"/>
      <c r="J506" s="38"/>
      <c r="K506" s="38"/>
      <c r="L506" s="333">
        <f>H506</f>
        <v>113.3468</v>
      </c>
    </row>
    <row r="507" spans="1:12" x14ac:dyDescent="0.25">
      <c r="A507" s="621"/>
      <c r="B507" s="223" t="s">
        <v>637</v>
      </c>
      <c r="C507" s="224"/>
      <c r="D507" s="224"/>
      <c r="E507" s="224"/>
      <c r="F507" s="224"/>
      <c r="G507" s="224"/>
      <c r="H507" s="225">
        <f>1.2*2.45*6*2</f>
        <v>35.28</v>
      </c>
      <c r="I507" s="224"/>
      <c r="J507" s="224"/>
      <c r="K507" s="224"/>
      <c r="L507" s="517"/>
    </row>
    <row r="508" spans="1:12" x14ac:dyDescent="0.25">
      <c r="A508" s="574"/>
      <c r="B508" s="348" t="s">
        <v>638</v>
      </c>
      <c r="C508" s="349"/>
      <c r="D508" s="349"/>
      <c r="E508" s="349"/>
      <c r="F508" s="349"/>
      <c r="G508" s="349"/>
      <c r="H508" s="221">
        <f>0.7*2.5*3*2</f>
        <v>10.5</v>
      </c>
      <c r="I508" s="349"/>
      <c r="J508" s="349"/>
      <c r="K508" s="349"/>
      <c r="L508" s="509"/>
    </row>
    <row r="509" spans="1:12" x14ac:dyDescent="0.25">
      <c r="A509" s="574"/>
      <c r="B509" s="348" t="s">
        <v>639</v>
      </c>
      <c r="C509" s="349"/>
      <c r="D509" s="349"/>
      <c r="E509" s="349"/>
      <c r="F509" s="349"/>
      <c r="G509" s="349"/>
      <c r="H509" s="221">
        <f>0.8*2.5*2</f>
        <v>4</v>
      </c>
      <c r="I509" s="349"/>
      <c r="J509" s="349"/>
      <c r="K509" s="349"/>
      <c r="L509" s="509"/>
    </row>
    <row r="510" spans="1:12" x14ac:dyDescent="0.25">
      <c r="A510" s="574"/>
      <c r="B510" s="348" t="s">
        <v>640</v>
      </c>
      <c r="C510" s="349"/>
      <c r="D510" s="349"/>
      <c r="E510" s="349"/>
      <c r="F510" s="349"/>
      <c r="G510" s="349"/>
      <c r="H510" s="221">
        <f>1.6*2.5*2</f>
        <v>8</v>
      </c>
      <c r="I510" s="349"/>
      <c r="J510" s="349"/>
      <c r="K510" s="349"/>
      <c r="L510" s="509"/>
    </row>
    <row r="511" spans="1:12" x14ac:dyDescent="0.25">
      <c r="A511" s="574"/>
      <c r="B511" s="348" t="s">
        <v>636</v>
      </c>
      <c r="C511" s="349"/>
      <c r="D511" s="349"/>
      <c r="E511" s="349"/>
      <c r="F511" s="349"/>
      <c r="G511" s="349"/>
      <c r="H511" s="221">
        <f>3.04*1.75*8</f>
        <v>42.56</v>
      </c>
      <c r="I511" s="349"/>
      <c r="J511" s="349"/>
      <c r="K511" s="349"/>
      <c r="L511" s="509"/>
    </row>
    <row r="512" spans="1:12" x14ac:dyDescent="0.25">
      <c r="A512" s="574"/>
      <c r="B512" s="348" t="s">
        <v>489</v>
      </c>
      <c r="C512" s="349"/>
      <c r="D512" s="349"/>
      <c r="E512" s="349"/>
      <c r="F512" s="349"/>
      <c r="G512" s="349"/>
      <c r="H512" s="221">
        <f>2*0.9</f>
        <v>1.8</v>
      </c>
      <c r="I512" s="349"/>
      <c r="J512" s="349"/>
      <c r="K512" s="349"/>
      <c r="L512" s="509"/>
    </row>
    <row r="513" spans="1:12" x14ac:dyDescent="0.25">
      <c r="A513" s="574"/>
      <c r="B513" s="348" t="s">
        <v>487</v>
      </c>
      <c r="C513" s="349"/>
      <c r="D513" s="349"/>
      <c r="E513" s="349"/>
      <c r="F513" s="349"/>
      <c r="G513" s="349"/>
      <c r="H513" s="221">
        <f>1.55*1.98*2</f>
        <v>6.1379999999999999</v>
      </c>
      <c r="I513" s="349"/>
      <c r="J513" s="349"/>
      <c r="K513" s="349"/>
      <c r="L513" s="509"/>
    </row>
    <row r="514" spans="1:12" x14ac:dyDescent="0.25">
      <c r="A514" s="574"/>
      <c r="B514" s="348" t="s">
        <v>488</v>
      </c>
      <c r="C514" s="349"/>
      <c r="D514" s="349"/>
      <c r="E514" s="349"/>
      <c r="F514" s="349"/>
      <c r="G514" s="349"/>
      <c r="H514" s="221">
        <f>1.28*1.98*2</f>
        <v>5.0688000000000004</v>
      </c>
      <c r="I514" s="349"/>
      <c r="J514" s="349"/>
      <c r="K514" s="349"/>
      <c r="L514" s="509"/>
    </row>
    <row r="515" spans="1:12" x14ac:dyDescent="0.25">
      <c r="A515" s="146" t="s">
        <v>311</v>
      </c>
      <c r="B515" s="138" t="str">
        <f>'PLANILHA ORÇAMENTÁRIA'!D119</f>
        <v>PAREDES E TETOS</v>
      </c>
      <c r="C515" s="139"/>
      <c r="D515" s="140"/>
      <c r="E515" s="140"/>
      <c r="F515" s="140"/>
      <c r="G515" s="140"/>
      <c r="H515" s="140"/>
      <c r="I515" s="140"/>
      <c r="J515" s="140"/>
      <c r="K515" s="140"/>
      <c r="L515" s="141"/>
    </row>
    <row r="516" spans="1:12" x14ac:dyDescent="0.25">
      <c r="A516" s="582" t="s">
        <v>621</v>
      </c>
      <c r="B516" s="622" t="str">
        <f>'PLANILHA ORÇAMENTÁRIA'!D120</f>
        <v>Aplicação manual de pintura com tinta látex PVA em teto, duas demãos</v>
      </c>
      <c r="C516" s="623" t="s">
        <v>11</v>
      </c>
      <c r="D516" s="624"/>
      <c r="E516" s="624"/>
      <c r="F516" s="624"/>
      <c r="G516" s="624"/>
      <c r="H516" s="624">
        <f>SUM(H517:H531)</f>
        <v>432.54140000000001</v>
      </c>
      <c r="I516" s="624"/>
      <c r="J516" s="624"/>
      <c r="K516" s="624"/>
      <c r="L516" s="564">
        <f>H516</f>
        <v>432.54140000000001</v>
      </c>
    </row>
    <row r="517" spans="1:12" x14ac:dyDescent="0.25">
      <c r="A517" s="574"/>
      <c r="B517" s="348" t="s">
        <v>528</v>
      </c>
      <c r="C517" s="349"/>
      <c r="D517" s="349"/>
      <c r="E517" s="349"/>
      <c r="F517" s="349"/>
      <c r="G517" s="349"/>
      <c r="H517" s="221">
        <f>5.02*3.57</f>
        <v>17.921399999999998</v>
      </c>
      <c r="I517" s="349"/>
      <c r="J517" s="349"/>
      <c r="K517" s="349"/>
      <c r="L517" s="509"/>
    </row>
    <row r="518" spans="1:12" x14ac:dyDescent="0.25">
      <c r="A518" s="574"/>
      <c r="B518" s="348" t="s">
        <v>194</v>
      </c>
      <c r="C518" s="349"/>
      <c r="D518" s="349"/>
      <c r="E518" s="349"/>
      <c r="F518" s="349"/>
      <c r="G518" s="349"/>
      <c r="H518" s="221">
        <v>16.61</v>
      </c>
      <c r="I518" s="349"/>
      <c r="J518" s="349"/>
      <c r="K518" s="349"/>
      <c r="L518" s="509"/>
    </row>
    <row r="519" spans="1:12" x14ac:dyDescent="0.25">
      <c r="A519" s="574"/>
      <c r="B519" s="348" t="s">
        <v>195</v>
      </c>
      <c r="C519" s="349"/>
      <c r="D519" s="349"/>
      <c r="E519" s="349"/>
      <c r="F519" s="349"/>
      <c r="G519" s="349"/>
      <c r="H519" s="221">
        <v>10.53</v>
      </c>
      <c r="I519" s="349"/>
      <c r="J519" s="349"/>
      <c r="K519" s="349"/>
      <c r="L519" s="509"/>
    </row>
    <row r="520" spans="1:12" x14ac:dyDescent="0.25">
      <c r="A520" s="574"/>
      <c r="B520" s="348" t="s">
        <v>529</v>
      </c>
      <c r="C520" s="349"/>
      <c r="D520" s="349"/>
      <c r="E520" s="349"/>
      <c r="F520" s="349"/>
      <c r="G520" s="349"/>
      <c r="H520" s="221">
        <v>26.96</v>
      </c>
      <c r="I520" s="349"/>
      <c r="J520" s="349"/>
      <c r="K520" s="349"/>
      <c r="L520" s="509"/>
    </row>
    <row r="521" spans="1:12" x14ac:dyDescent="0.25">
      <c r="A521" s="574"/>
      <c r="B521" s="348" t="s">
        <v>319</v>
      </c>
      <c r="C521" s="349"/>
      <c r="D521" s="349"/>
      <c r="E521" s="349"/>
      <c r="F521" s="349"/>
      <c r="G521" s="349"/>
      <c r="H521" s="221">
        <v>4.97</v>
      </c>
      <c r="I521" s="349"/>
      <c r="J521" s="349"/>
      <c r="K521" s="349"/>
      <c r="L521" s="509"/>
    </row>
    <row r="522" spans="1:12" x14ac:dyDescent="0.25">
      <c r="A522" s="574"/>
      <c r="B522" s="348" t="s">
        <v>197</v>
      </c>
      <c r="C522" s="349"/>
      <c r="D522" s="349"/>
      <c r="E522" s="349"/>
      <c r="F522" s="349"/>
      <c r="G522" s="349"/>
      <c r="H522" s="221">
        <v>22.17</v>
      </c>
      <c r="I522" s="349"/>
      <c r="J522" s="349"/>
      <c r="K522" s="349"/>
      <c r="L522" s="509"/>
    </row>
    <row r="523" spans="1:12" x14ac:dyDescent="0.25">
      <c r="A523" s="574"/>
      <c r="B523" s="348" t="s">
        <v>387</v>
      </c>
      <c r="C523" s="349"/>
      <c r="D523" s="349"/>
      <c r="E523" s="349"/>
      <c r="F523" s="349"/>
      <c r="G523" s="349"/>
      <c r="H523" s="221">
        <v>27.35</v>
      </c>
      <c r="I523" s="349"/>
      <c r="J523" s="349"/>
      <c r="K523" s="349"/>
      <c r="L523" s="509"/>
    </row>
    <row r="524" spans="1:12" x14ac:dyDescent="0.25">
      <c r="A524" s="574"/>
      <c r="B524" s="348" t="s">
        <v>530</v>
      </c>
      <c r="C524" s="349"/>
      <c r="D524" s="349"/>
      <c r="E524" s="349"/>
      <c r="F524" s="349"/>
      <c r="G524" s="349"/>
      <c r="H524" s="221">
        <v>26.5</v>
      </c>
      <c r="I524" s="349"/>
      <c r="J524" s="349"/>
      <c r="K524" s="349"/>
      <c r="L524" s="509"/>
    </row>
    <row r="525" spans="1:12" x14ac:dyDescent="0.25">
      <c r="A525" s="574"/>
      <c r="B525" s="348" t="s">
        <v>531</v>
      </c>
      <c r="C525" s="349"/>
      <c r="D525" s="349"/>
      <c r="E525" s="349"/>
      <c r="F525" s="349"/>
      <c r="G525" s="349"/>
      <c r="H525" s="221">
        <v>76.760000000000005</v>
      </c>
      <c r="I525" s="349"/>
      <c r="J525" s="349"/>
      <c r="K525" s="349"/>
      <c r="L525" s="509"/>
    </row>
    <row r="526" spans="1:12" x14ac:dyDescent="0.25">
      <c r="A526" s="574"/>
      <c r="B526" s="348" t="s">
        <v>236</v>
      </c>
      <c r="C526" s="349"/>
      <c r="D526" s="349"/>
      <c r="E526" s="349"/>
      <c r="F526" s="349"/>
      <c r="G526" s="349"/>
      <c r="H526" s="221">
        <v>44.25</v>
      </c>
      <c r="I526" s="349"/>
      <c r="J526" s="349"/>
      <c r="K526" s="349"/>
      <c r="L526" s="509"/>
    </row>
    <row r="527" spans="1:12" x14ac:dyDescent="0.25">
      <c r="A527" s="574"/>
      <c r="B527" s="348" t="s">
        <v>532</v>
      </c>
      <c r="C527" s="349"/>
      <c r="D527" s="349"/>
      <c r="E527" s="349"/>
      <c r="F527" s="349"/>
      <c r="G527" s="349"/>
      <c r="H527" s="221">
        <v>39.56</v>
      </c>
      <c r="I527" s="349"/>
      <c r="J527" s="349"/>
      <c r="K527" s="349"/>
      <c r="L527" s="509"/>
    </row>
    <row r="528" spans="1:12" x14ac:dyDescent="0.25">
      <c r="A528" s="574"/>
      <c r="B528" s="348" t="s">
        <v>533</v>
      </c>
      <c r="C528" s="349"/>
      <c r="D528" s="349"/>
      <c r="E528" s="349"/>
      <c r="F528" s="349"/>
      <c r="G528" s="349"/>
      <c r="H528" s="221">
        <v>77.709999999999994</v>
      </c>
      <c r="I528" s="349"/>
      <c r="J528" s="349"/>
      <c r="K528" s="349"/>
      <c r="L528" s="509"/>
    </row>
    <row r="529" spans="1:12" x14ac:dyDescent="0.25">
      <c r="A529" s="574"/>
      <c r="B529" s="348" t="s">
        <v>242</v>
      </c>
      <c r="C529" s="349"/>
      <c r="D529" s="349"/>
      <c r="E529" s="349"/>
      <c r="F529" s="349"/>
      <c r="G529" s="349"/>
      <c r="H529" s="221">
        <v>21.82</v>
      </c>
      <c r="I529" s="349"/>
      <c r="J529" s="349"/>
      <c r="K529" s="349"/>
      <c r="L529" s="509"/>
    </row>
    <row r="530" spans="1:12" x14ac:dyDescent="0.25">
      <c r="A530" s="574"/>
      <c r="B530" s="348" t="s">
        <v>243</v>
      </c>
      <c r="C530" s="349"/>
      <c r="D530" s="349"/>
      <c r="E530" s="349"/>
      <c r="F530" s="349"/>
      <c r="G530" s="349"/>
      <c r="H530" s="221">
        <v>16</v>
      </c>
      <c r="I530" s="349"/>
      <c r="J530" s="349"/>
      <c r="K530" s="349"/>
      <c r="L530" s="509"/>
    </row>
    <row r="531" spans="1:12" x14ac:dyDescent="0.25">
      <c r="A531" s="575"/>
      <c r="B531" s="217" t="s">
        <v>534</v>
      </c>
      <c r="C531" s="218"/>
      <c r="D531" s="218"/>
      <c r="E531" s="218"/>
      <c r="F531" s="218"/>
      <c r="G531" s="218"/>
      <c r="H531" s="222">
        <v>3.43</v>
      </c>
      <c r="I531" s="218"/>
      <c r="J531" s="218"/>
      <c r="K531" s="218"/>
      <c r="L531" s="510"/>
    </row>
    <row r="532" spans="1:12" ht="31.5" x14ac:dyDescent="0.25">
      <c r="A532" s="576" t="s">
        <v>622</v>
      </c>
      <c r="B532" s="60" t="str">
        <f>'PLANILHA ORÇAMENTÁRIA'!D121</f>
        <v>Aplicação manual de pintura com tinta látex acrílica em paredes internas, duas demãos</v>
      </c>
      <c r="C532" s="41" t="s">
        <v>78</v>
      </c>
      <c r="D532" s="43"/>
      <c r="E532" s="43"/>
      <c r="F532" s="43"/>
      <c r="G532" s="43"/>
      <c r="H532" s="43">
        <f>SUM(H533:H570)</f>
        <v>1544.1947</v>
      </c>
      <c r="I532" s="43"/>
      <c r="J532" s="43"/>
      <c r="K532" s="43"/>
      <c r="L532" s="519">
        <f>H532</f>
        <v>1544.1947</v>
      </c>
    </row>
    <row r="533" spans="1:12" x14ac:dyDescent="0.25">
      <c r="A533" s="574"/>
      <c r="B533" s="388" t="s">
        <v>535</v>
      </c>
      <c r="C533" s="389"/>
      <c r="D533" s="389"/>
      <c r="E533" s="389"/>
      <c r="F533" s="389"/>
      <c r="G533" s="389"/>
      <c r="H533" s="221">
        <f>5.99*3.23*2+6.6*3.23-14.51</f>
        <v>45.503399999999999</v>
      </c>
      <c r="I533" s="349"/>
      <c r="J533" s="349"/>
      <c r="K533" s="349"/>
      <c r="L533" s="509"/>
    </row>
    <row r="534" spans="1:12" x14ac:dyDescent="0.25">
      <c r="A534" s="574"/>
      <c r="B534" s="348" t="s">
        <v>536</v>
      </c>
      <c r="C534" s="349"/>
      <c r="D534" s="349"/>
      <c r="E534" s="349"/>
      <c r="F534" s="349"/>
      <c r="G534" s="349"/>
      <c r="H534" s="221">
        <f>6.7*3.23*2+6.6*3.23-11.94</f>
        <v>52.66</v>
      </c>
      <c r="I534" s="349"/>
      <c r="J534" s="349"/>
      <c r="K534" s="349"/>
      <c r="L534" s="509"/>
    </row>
    <row r="535" spans="1:12" x14ac:dyDescent="0.25">
      <c r="A535" s="574"/>
      <c r="B535" s="388" t="s">
        <v>537</v>
      </c>
      <c r="C535" s="389"/>
      <c r="D535" s="389"/>
      <c r="E535" s="389"/>
      <c r="F535" s="389"/>
      <c r="G535" s="389"/>
      <c r="H535" s="221">
        <f>6.72*3.23+5.16*3.23+5.52*1.18+1.2*3.23-6.25</f>
        <v>42.511999999999993</v>
      </c>
      <c r="I535" s="349"/>
      <c r="J535" s="349"/>
      <c r="K535" s="349"/>
      <c r="L535" s="509"/>
    </row>
    <row r="536" spans="1:12" x14ac:dyDescent="0.25">
      <c r="A536" s="574"/>
      <c r="B536" s="348" t="s">
        <v>538</v>
      </c>
      <c r="C536" s="349"/>
      <c r="D536" s="349"/>
      <c r="E536" s="349"/>
      <c r="F536" s="349"/>
      <c r="G536" s="349"/>
      <c r="H536" s="221">
        <v>26.13</v>
      </c>
      <c r="I536" s="349"/>
      <c r="J536" s="349"/>
      <c r="K536" s="349"/>
      <c r="L536" s="509"/>
    </row>
    <row r="537" spans="1:12" ht="27.75" customHeight="1" x14ac:dyDescent="0.25">
      <c r="A537" s="574"/>
      <c r="B537" s="408" t="s">
        <v>539</v>
      </c>
      <c r="C537" s="409"/>
      <c r="D537" s="409"/>
      <c r="E537" s="409"/>
      <c r="F537" s="409"/>
      <c r="G537" s="409"/>
      <c r="H537" s="221">
        <f>18.28*3.23+0.2*3.23*2+0.44*3.23*2+21.16*3.23+1.78*1.17*2+43.13*1.17-31.32</f>
        <v>154.8329</v>
      </c>
      <c r="I537" s="349"/>
      <c r="J537" s="349"/>
      <c r="K537" s="349"/>
      <c r="L537" s="509"/>
    </row>
    <row r="538" spans="1:12" x14ac:dyDescent="0.25">
      <c r="A538" s="574"/>
      <c r="B538" s="348" t="s">
        <v>540</v>
      </c>
      <c r="C538" s="349"/>
      <c r="D538" s="349"/>
      <c r="E538" s="349"/>
      <c r="F538" s="349"/>
      <c r="G538" s="349"/>
      <c r="H538" s="221">
        <f>3.89*4*2+5.95*4-5.32</f>
        <v>49.6</v>
      </c>
      <c r="I538" s="349"/>
      <c r="J538" s="349"/>
      <c r="K538" s="349"/>
      <c r="L538" s="509"/>
    </row>
    <row r="539" spans="1:12" x14ac:dyDescent="0.25">
      <c r="A539" s="574"/>
      <c r="B539" s="348" t="s">
        <v>541</v>
      </c>
      <c r="C539" s="349"/>
      <c r="D539" s="349"/>
      <c r="E539" s="349"/>
      <c r="F539" s="349"/>
      <c r="G539" s="349"/>
      <c r="H539" s="221">
        <f>4*4+4.42*4-5.32</f>
        <v>28.36</v>
      </c>
      <c r="I539" s="349"/>
      <c r="J539" s="349"/>
      <c r="K539" s="349"/>
      <c r="L539" s="509"/>
    </row>
    <row r="540" spans="1:12" x14ac:dyDescent="0.25">
      <c r="A540" s="574"/>
      <c r="B540" s="348" t="s">
        <v>542</v>
      </c>
      <c r="C540" s="349"/>
      <c r="D540" s="349"/>
      <c r="E540" s="349"/>
      <c r="F540" s="349"/>
      <c r="G540" s="349"/>
      <c r="H540" s="221">
        <f>1.47*4+4*4-2.94</f>
        <v>18.939999999999998</v>
      </c>
      <c r="I540" s="349"/>
      <c r="J540" s="349"/>
      <c r="K540" s="349"/>
      <c r="L540" s="509"/>
    </row>
    <row r="541" spans="1:12" x14ac:dyDescent="0.25">
      <c r="A541" s="574"/>
      <c r="B541" s="348" t="s">
        <v>543</v>
      </c>
      <c r="C541" s="349"/>
      <c r="D541" s="349"/>
      <c r="E541" s="349"/>
      <c r="F541" s="349"/>
      <c r="G541" s="349"/>
      <c r="H541" s="221">
        <f>2.95*4+3.89*4</f>
        <v>27.36</v>
      </c>
      <c r="I541" s="349"/>
      <c r="J541" s="349"/>
      <c r="K541" s="349"/>
      <c r="L541" s="509"/>
    </row>
    <row r="542" spans="1:12" x14ac:dyDescent="0.25">
      <c r="A542" s="574"/>
      <c r="B542" s="348" t="s">
        <v>544</v>
      </c>
      <c r="C542" s="349"/>
      <c r="D542" s="349"/>
      <c r="E542" s="349"/>
      <c r="F542" s="349"/>
      <c r="G542" s="349"/>
      <c r="H542" s="221">
        <f>3.89*4+2.95*4-5.32</f>
        <v>22.04</v>
      </c>
      <c r="I542" s="349"/>
      <c r="J542" s="349"/>
      <c r="K542" s="349"/>
      <c r="L542" s="509"/>
    </row>
    <row r="543" spans="1:12" x14ac:dyDescent="0.25">
      <c r="A543" s="574"/>
      <c r="B543" s="348" t="s">
        <v>545</v>
      </c>
      <c r="C543" s="349"/>
      <c r="D543" s="349"/>
      <c r="E543" s="349"/>
      <c r="F543" s="349"/>
      <c r="G543" s="349"/>
      <c r="H543" s="221">
        <f>4*4+2.95*4-5.32</f>
        <v>22.48</v>
      </c>
      <c r="I543" s="349"/>
      <c r="J543" s="349"/>
      <c r="K543" s="349"/>
      <c r="L543" s="509"/>
    </row>
    <row r="544" spans="1:12" x14ac:dyDescent="0.25">
      <c r="A544" s="574"/>
      <c r="B544" s="348" t="s">
        <v>546</v>
      </c>
      <c r="C544" s="349"/>
      <c r="D544" s="349"/>
      <c r="E544" s="349"/>
      <c r="F544" s="349"/>
      <c r="G544" s="349"/>
      <c r="H544" s="221">
        <f>2.95*4+4*4-2.94</f>
        <v>24.86</v>
      </c>
      <c r="I544" s="349"/>
      <c r="J544" s="349"/>
      <c r="K544" s="349"/>
      <c r="L544" s="509"/>
    </row>
    <row r="545" spans="1:12" x14ac:dyDescent="0.25">
      <c r="A545" s="574"/>
      <c r="B545" s="348" t="s">
        <v>547</v>
      </c>
      <c r="C545" s="349"/>
      <c r="D545" s="349"/>
      <c r="E545" s="349"/>
      <c r="F545" s="349"/>
      <c r="G545" s="349"/>
      <c r="H545" s="221">
        <f>3.03*4*2+3.62*4*2-3.55</f>
        <v>49.650000000000006</v>
      </c>
      <c r="I545" s="349"/>
      <c r="J545" s="349"/>
      <c r="K545" s="349"/>
      <c r="L545" s="509"/>
    </row>
    <row r="546" spans="1:12" x14ac:dyDescent="0.25">
      <c r="A546" s="574"/>
      <c r="B546" s="388" t="s">
        <v>548</v>
      </c>
      <c r="C546" s="389"/>
      <c r="D546" s="389"/>
      <c r="E546" s="389"/>
      <c r="F546" s="389"/>
      <c r="G546" s="389"/>
      <c r="H546" s="221">
        <f>3.03*4*2+3.24*4*2 - 7.34</f>
        <v>42.819999999999993</v>
      </c>
      <c r="I546" s="349"/>
      <c r="J546" s="349"/>
      <c r="K546" s="349"/>
      <c r="L546" s="509"/>
    </row>
    <row r="547" spans="1:12" x14ac:dyDescent="0.25">
      <c r="A547" s="574"/>
      <c r="B547" s="388" t="s">
        <v>549</v>
      </c>
      <c r="C547" s="389"/>
      <c r="D547" s="389"/>
      <c r="E547" s="389"/>
      <c r="F547" s="389"/>
      <c r="G547" s="389"/>
      <c r="H547" s="221">
        <f>2.11*4+1.63*4*2+2.11*0.32-10.18</f>
        <v>11.975199999999997</v>
      </c>
      <c r="I547" s="349"/>
      <c r="J547" s="349"/>
      <c r="K547" s="349"/>
      <c r="L547" s="509"/>
    </row>
    <row r="548" spans="1:12" x14ac:dyDescent="0.25">
      <c r="A548" s="574"/>
      <c r="B548" s="388" t="s">
        <v>550</v>
      </c>
      <c r="C548" s="389"/>
      <c r="D548" s="389"/>
      <c r="E548" s="389"/>
      <c r="F548" s="389"/>
      <c r="G548" s="389"/>
      <c r="H548" s="221">
        <f>43.06*3.23+1.82*3.23+43.06*3.23-182.49</f>
        <v>101.55619999999999</v>
      </c>
      <c r="I548" s="349"/>
      <c r="J548" s="349"/>
      <c r="K548" s="349"/>
      <c r="L548" s="509"/>
    </row>
    <row r="549" spans="1:12" ht="27" customHeight="1" x14ac:dyDescent="0.25">
      <c r="A549" s="574"/>
      <c r="B549" s="394" t="s">
        <v>551</v>
      </c>
      <c r="C549" s="395"/>
      <c r="D549" s="395"/>
      <c r="E549" s="395"/>
      <c r="F549" s="395"/>
      <c r="G549" s="395"/>
      <c r="H549" s="221">
        <f>2.13*0.96+33.52*0.96+2.13*0.96+33.52*0.96+17.24+142.58-6.05</f>
        <v>222.21800000000002</v>
      </c>
      <c r="I549" s="349"/>
      <c r="J549" s="349"/>
      <c r="K549" s="349"/>
      <c r="L549" s="509"/>
    </row>
    <row r="550" spans="1:12" x14ac:dyDescent="0.25">
      <c r="A550" s="574"/>
      <c r="B550" s="388" t="s">
        <v>552</v>
      </c>
      <c r="C550" s="389"/>
      <c r="D550" s="389"/>
      <c r="E550" s="389"/>
      <c r="F550" s="389"/>
      <c r="G550" s="389"/>
      <c r="H550" s="221">
        <f>4.08*3.23+3.97*3.23-2.57</f>
        <v>23.4315</v>
      </c>
      <c r="I550" s="349"/>
      <c r="J550" s="349"/>
      <c r="K550" s="349"/>
      <c r="L550" s="509"/>
    </row>
    <row r="551" spans="1:12" x14ac:dyDescent="0.25">
      <c r="A551" s="574"/>
      <c r="B551" s="388" t="s">
        <v>553</v>
      </c>
      <c r="C551" s="389"/>
      <c r="D551" s="389"/>
      <c r="E551" s="389"/>
      <c r="F551" s="389"/>
      <c r="G551" s="389"/>
      <c r="H551" s="221">
        <f>2.58*3.23+4.08*3.23-2.57</f>
        <v>18.941800000000001</v>
      </c>
      <c r="I551" s="349"/>
      <c r="J551" s="349"/>
      <c r="K551" s="349"/>
      <c r="L551" s="509"/>
    </row>
    <row r="552" spans="1:12" x14ac:dyDescent="0.25">
      <c r="A552" s="574"/>
      <c r="B552" s="388" t="s">
        <v>554</v>
      </c>
      <c r="C552" s="389"/>
      <c r="D552" s="389"/>
      <c r="E552" s="389"/>
      <c r="F552" s="389"/>
      <c r="G552" s="389"/>
      <c r="H552" s="221">
        <f>4.08*3.23*2+6.6*3.23-7.42</f>
        <v>40.254799999999996</v>
      </c>
      <c r="I552" s="349"/>
      <c r="J552" s="349"/>
      <c r="K552" s="349"/>
      <c r="L552" s="509"/>
    </row>
    <row r="553" spans="1:12" x14ac:dyDescent="0.25">
      <c r="A553" s="574"/>
      <c r="B553" s="388" t="s">
        <v>555</v>
      </c>
      <c r="C553" s="389"/>
      <c r="D553" s="389"/>
      <c r="E553" s="389"/>
      <c r="F553" s="389"/>
      <c r="G553" s="389"/>
      <c r="H553" s="221">
        <f>4.14*3.23+1.2*3.23-4.85</f>
        <v>12.398200000000001</v>
      </c>
      <c r="I553" s="349"/>
      <c r="J553" s="349"/>
      <c r="K553" s="349"/>
      <c r="L553" s="509"/>
    </row>
    <row r="554" spans="1:12" x14ac:dyDescent="0.25">
      <c r="A554" s="574"/>
      <c r="B554" s="388" t="s">
        <v>556</v>
      </c>
      <c r="C554" s="389"/>
      <c r="D554" s="389"/>
      <c r="E554" s="389"/>
      <c r="F554" s="389"/>
      <c r="G554" s="389"/>
      <c r="H554" s="221">
        <f>4.14*3.23+5.35*3.23-2.57</f>
        <v>28.082699999999999</v>
      </c>
      <c r="I554" s="349"/>
      <c r="J554" s="349"/>
      <c r="K554" s="349"/>
      <c r="L554" s="509"/>
    </row>
    <row r="555" spans="1:12" x14ac:dyDescent="0.25">
      <c r="A555" s="574"/>
      <c r="B555" s="388" t="s">
        <v>557</v>
      </c>
      <c r="C555" s="389"/>
      <c r="D555" s="389"/>
      <c r="E555" s="389"/>
      <c r="F555" s="389"/>
      <c r="G555" s="389"/>
      <c r="H555" s="221">
        <f>6.6*3.23+4.14*3.23*2-5.13</f>
        <v>42.932399999999994</v>
      </c>
      <c r="I555" s="349"/>
      <c r="J555" s="349"/>
      <c r="K555" s="349"/>
      <c r="L555" s="509"/>
    </row>
    <row r="556" spans="1:12" x14ac:dyDescent="0.25">
      <c r="A556" s="574"/>
      <c r="B556" s="388" t="s">
        <v>558</v>
      </c>
      <c r="C556" s="389"/>
      <c r="D556" s="389"/>
      <c r="E556" s="389"/>
      <c r="F556" s="389"/>
      <c r="G556" s="389"/>
      <c r="H556" s="221">
        <f>4.04*2.79*2+3.62*2.79*2-5.1</f>
        <v>37.642800000000001</v>
      </c>
      <c r="I556" s="349"/>
      <c r="J556" s="349"/>
      <c r="K556" s="349"/>
      <c r="L556" s="509"/>
    </row>
    <row r="557" spans="1:12" x14ac:dyDescent="0.25">
      <c r="A557" s="574"/>
      <c r="B557" s="388" t="s">
        <v>559</v>
      </c>
      <c r="C557" s="389"/>
      <c r="D557" s="389"/>
      <c r="E557" s="389"/>
      <c r="F557" s="389"/>
      <c r="G557" s="389"/>
      <c r="H557" s="221">
        <f>4.04*2.79*2+3.62*2.79*2-5.1</f>
        <v>37.642800000000001</v>
      </c>
      <c r="I557" s="349"/>
      <c r="J557" s="349"/>
      <c r="K557" s="349"/>
      <c r="L557" s="509"/>
    </row>
    <row r="558" spans="1:12" x14ac:dyDescent="0.25">
      <c r="A558" s="574"/>
      <c r="B558" s="388" t="s">
        <v>560</v>
      </c>
      <c r="C558" s="389"/>
      <c r="D558" s="389"/>
      <c r="E558" s="389"/>
      <c r="F558" s="389"/>
      <c r="G558" s="389"/>
      <c r="H558" s="221">
        <f>5.95*4+3.84*4*2-5.32</f>
        <v>49.199999999999996</v>
      </c>
      <c r="I558" s="349"/>
      <c r="J558" s="349"/>
      <c r="K558" s="349"/>
      <c r="L558" s="509"/>
    </row>
    <row r="559" spans="1:12" x14ac:dyDescent="0.25">
      <c r="A559" s="574"/>
      <c r="B559" s="388" t="s">
        <v>561</v>
      </c>
      <c r="C559" s="389"/>
      <c r="D559" s="389"/>
      <c r="E559" s="389"/>
      <c r="F559" s="389"/>
      <c r="G559" s="389"/>
      <c r="H559" s="221">
        <f>4.4*4+4.02*4-5.32</f>
        <v>28.36</v>
      </c>
      <c r="I559" s="349"/>
      <c r="J559" s="349"/>
      <c r="K559" s="349"/>
      <c r="L559" s="509"/>
    </row>
    <row r="560" spans="1:12" x14ac:dyDescent="0.25">
      <c r="A560" s="574"/>
      <c r="B560" s="388" t="s">
        <v>562</v>
      </c>
      <c r="C560" s="389"/>
      <c r="D560" s="389"/>
      <c r="E560" s="389"/>
      <c r="F560" s="389"/>
      <c r="G560" s="389"/>
      <c r="H560" s="221">
        <f>1.5*4+4.02*4-2.94</f>
        <v>19.139999999999997</v>
      </c>
      <c r="I560" s="349"/>
      <c r="J560" s="349"/>
      <c r="K560" s="349"/>
      <c r="L560" s="509"/>
    </row>
    <row r="561" spans="1:12" x14ac:dyDescent="0.25">
      <c r="A561" s="574"/>
      <c r="B561" s="388" t="s">
        <v>563</v>
      </c>
      <c r="C561" s="389"/>
      <c r="D561" s="389"/>
      <c r="E561" s="389"/>
      <c r="F561" s="389"/>
      <c r="G561" s="389"/>
      <c r="H561" s="221">
        <f>2.32*4+3.86*4-5.32</f>
        <v>19.399999999999999</v>
      </c>
      <c r="I561" s="349"/>
      <c r="J561" s="349"/>
      <c r="K561" s="349"/>
      <c r="L561" s="509"/>
    </row>
    <row r="562" spans="1:12" x14ac:dyDescent="0.25">
      <c r="A562" s="574"/>
      <c r="B562" s="388" t="s">
        <v>564</v>
      </c>
      <c r="C562" s="389"/>
      <c r="D562" s="389"/>
      <c r="E562" s="389"/>
      <c r="F562" s="389"/>
      <c r="G562" s="389"/>
      <c r="H562" s="221">
        <f>2.32*4+4*4-5.32</f>
        <v>19.96</v>
      </c>
      <c r="I562" s="349"/>
      <c r="J562" s="349"/>
      <c r="K562" s="349"/>
      <c r="L562" s="509"/>
    </row>
    <row r="563" spans="1:12" x14ac:dyDescent="0.25">
      <c r="A563" s="574"/>
      <c r="B563" s="388" t="s">
        <v>565</v>
      </c>
      <c r="C563" s="389"/>
      <c r="D563" s="389"/>
      <c r="E563" s="389"/>
      <c r="F563" s="389"/>
      <c r="G563" s="389"/>
      <c r="H563" s="221">
        <f>2.32*4+3.15*4</f>
        <v>21.88</v>
      </c>
      <c r="I563" s="349"/>
      <c r="J563" s="349"/>
      <c r="K563" s="349"/>
      <c r="L563" s="509"/>
    </row>
    <row r="564" spans="1:12" x14ac:dyDescent="0.25">
      <c r="A564" s="574"/>
      <c r="B564" s="388" t="s">
        <v>566</v>
      </c>
      <c r="C564" s="389"/>
      <c r="D564" s="389"/>
      <c r="E564" s="389"/>
      <c r="F564" s="389"/>
      <c r="G564" s="389"/>
      <c r="H564" s="221">
        <f>3.15*4</f>
        <v>12.6</v>
      </c>
      <c r="I564" s="349"/>
      <c r="J564" s="349"/>
      <c r="K564" s="349"/>
      <c r="L564" s="509"/>
    </row>
    <row r="565" spans="1:12" x14ac:dyDescent="0.25">
      <c r="A565" s="574"/>
      <c r="B565" s="388" t="s">
        <v>567</v>
      </c>
      <c r="C565" s="389"/>
      <c r="D565" s="389"/>
      <c r="E565" s="389"/>
      <c r="F565" s="389"/>
      <c r="G565" s="389"/>
      <c r="H565" s="221">
        <f>1.2*4+3.57*4+1.5*4-2.94</f>
        <v>22.139999999999997</v>
      </c>
      <c r="I565" s="349"/>
      <c r="J565" s="349"/>
      <c r="K565" s="349"/>
      <c r="L565" s="509"/>
    </row>
    <row r="566" spans="1:12" x14ac:dyDescent="0.25">
      <c r="A566" s="574"/>
      <c r="B566" s="388" t="s">
        <v>568</v>
      </c>
      <c r="C566" s="389"/>
      <c r="D566" s="389"/>
      <c r="E566" s="389"/>
      <c r="F566" s="389"/>
      <c r="G566" s="389"/>
      <c r="H566" s="221">
        <f>3.3*4*2+2.99*4-7.35</f>
        <v>31.009999999999998</v>
      </c>
      <c r="I566" s="349"/>
      <c r="J566" s="349"/>
      <c r="K566" s="349"/>
      <c r="L566" s="509"/>
    </row>
    <row r="567" spans="1:12" x14ac:dyDescent="0.25">
      <c r="A567" s="574"/>
      <c r="B567" s="388" t="s">
        <v>569</v>
      </c>
      <c r="C567" s="389"/>
      <c r="D567" s="389"/>
      <c r="E567" s="389"/>
      <c r="F567" s="389"/>
      <c r="G567" s="389"/>
      <c r="H567" s="221">
        <f>3.65*4*2+2.99*4-3.8</f>
        <v>37.36</v>
      </c>
      <c r="I567" s="349"/>
      <c r="J567" s="349"/>
      <c r="K567" s="349"/>
      <c r="L567" s="509"/>
    </row>
    <row r="568" spans="1:12" ht="27" customHeight="1" x14ac:dyDescent="0.25">
      <c r="A568" s="584"/>
      <c r="B568" s="394" t="s">
        <v>570</v>
      </c>
      <c r="C568" s="395"/>
      <c r="D568" s="395"/>
      <c r="E568" s="395"/>
      <c r="F568" s="395"/>
      <c r="G568" s="395"/>
      <c r="H568" s="227">
        <f>5.54*4*2+2.11*4*2-14.37</f>
        <v>46.830000000000005</v>
      </c>
      <c r="I568" s="186"/>
      <c r="J568" s="186"/>
      <c r="K568" s="186"/>
      <c r="L568" s="520"/>
    </row>
    <row r="569" spans="1:12" ht="26.25" customHeight="1" x14ac:dyDescent="0.25">
      <c r="A569" s="580"/>
      <c r="B569" s="398" t="s">
        <v>571</v>
      </c>
      <c r="C569" s="399"/>
      <c r="D569" s="399"/>
      <c r="E569" s="399"/>
      <c r="F569" s="399"/>
      <c r="G569" s="399"/>
      <c r="H569" s="285">
        <f>6.4*1.56+3.73*1.56+6.4*1.56+ 5.17*1.56-5.4</f>
        <v>28.452000000000005</v>
      </c>
      <c r="I569" s="284"/>
      <c r="J569" s="284"/>
      <c r="K569" s="284"/>
      <c r="L569" s="565"/>
    </row>
    <row r="570" spans="1:12" ht="26.25" customHeight="1" x14ac:dyDescent="0.25">
      <c r="A570" s="585"/>
      <c r="B570" s="396" t="s">
        <v>572</v>
      </c>
      <c r="C570" s="397"/>
      <c r="D570" s="397"/>
      <c r="E570" s="397"/>
      <c r="F570" s="397"/>
      <c r="G570" s="397"/>
      <c r="H570" s="237">
        <f>6.4*1.56*2+2.5*1.56*2-4.73</f>
        <v>23.038000000000004</v>
      </c>
      <c r="I570" s="269"/>
      <c r="J570" s="269"/>
      <c r="K570" s="269"/>
      <c r="L570" s="551"/>
    </row>
    <row r="571" spans="1:12" ht="31.5" x14ac:dyDescent="0.25">
      <c r="A571" s="576" t="s">
        <v>623</v>
      </c>
      <c r="B571" s="60" t="str">
        <f>'PLANILHA ORÇAMENTÁRIA'!D122</f>
        <v>Aplicação manual de tinta látex acrílica em paredes externas, duas demãos</v>
      </c>
      <c r="C571" s="41" t="s">
        <v>11</v>
      </c>
      <c r="D571" s="43"/>
      <c r="E571" s="43"/>
      <c r="F571" s="43"/>
      <c r="G571" s="43"/>
      <c r="H571" s="43">
        <f>SUM(H572:H583)</f>
        <v>1038.6500999999998</v>
      </c>
      <c r="I571" s="43"/>
      <c r="J571" s="43"/>
      <c r="K571" s="43"/>
      <c r="L571" s="519">
        <f>H571</f>
        <v>1038.6500999999998</v>
      </c>
    </row>
    <row r="572" spans="1:12" ht="30" customHeight="1" x14ac:dyDescent="0.25">
      <c r="A572" s="574"/>
      <c r="B572" s="394" t="s">
        <v>581</v>
      </c>
      <c r="C572" s="395"/>
      <c r="D572" s="395"/>
      <c r="E572" s="395"/>
      <c r="F572" s="395"/>
      <c r="G572" s="395"/>
      <c r="H572" s="221">
        <f xml:space="preserve"> 4.07*2.35+16.44*5.4+9.25*5.6+16.38*5.4+1.05*5.6*2-56.46</f>
        <v>193.89249999999998</v>
      </c>
      <c r="I572" s="349"/>
      <c r="J572" s="349"/>
      <c r="K572" s="349"/>
      <c r="L572" s="509"/>
    </row>
    <row r="573" spans="1:12" ht="30" customHeight="1" x14ac:dyDescent="0.25">
      <c r="A573" s="574"/>
      <c r="B573" s="394" t="s">
        <v>582</v>
      </c>
      <c r="C573" s="395"/>
      <c r="D573" s="395"/>
      <c r="E573" s="395"/>
      <c r="F573" s="395"/>
      <c r="G573" s="395"/>
      <c r="H573" s="221">
        <f>43.71*7.2+10.99*2.5+8.3*2.5+65.62*1.8+17.37-71.55</f>
        <v>426.87299999999999</v>
      </c>
      <c r="I573" s="349"/>
      <c r="J573" s="349"/>
      <c r="K573" s="349"/>
      <c r="L573" s="509"/>
    </row>
    <row r="574" spans="1:12" x14ac:dyDescent="0.25">
      <c r="A574" s="574"/>
      <c r="B574" s="388" t="s">
        <v>583</v>
      </c>
      <c r="C574" s="389"/>
      <c r="D574" s="389"/>
      <c r="E574" s="389"/>
      <c r="F574" s="389"/>
      <c r="G574" s="389"/>
      <c r="H574" s="221">
        <f>70.21+3.21*1.75-18.14</f>
        <v>57.687499999999986</v>
      </c>
      <c r="I574" s="349"/>
      <c r="J574" s="349"/>
      <c r="K574" s="349"/>
      <c r="L574" s="509"/>
    </row>
    <row r="575" spans="1:12" x14ac:dyDescent="0.25">
      <c r="A575" s="574"/>
      <c r="B575" s="388" t="s">
        <v>584</v>
      </c>
      <c r="C575" s="389"/>
      <c r="D575" s="389"/>
      <c r="E575" s="389"/>
      <c r="F575" s="389"/>
      <c r="G575" s="389"/>
      <c r="H575" s="221">
        <f>6.69*8.74+2.39+13.27*2.75-15.83</f>
        <v>81.523100000000014</v>
      </c>
      <c r="I575" s="349"/>
      <c r="J575" s="349"/>
      <c r="K575" s="349"/>
      <c r="L575" s="509"/>
    </row>
    <row r="576" spans="1:12" x14ac:dyDescent="0.25">
      <c r="A576" s="574"/>
      <c r="B576" s="388" t="s">
        <v>644</v>
      </c>
      <c r="C576" s="389"/>
      <c r="D576" s="389"/>
      <c r="E576" s="389"/>
      <c r="F576" s="389"/>
      <c r="G576" s="389"/>
      <c r="H576" s="221">
        <f>28.8*2.98-48.56</f>
        <v>37.263999999999996</v>
      </c>
      <c r="I576" s="349"/>
      <c r="J576" s="349"/>
      <c r="K576" s="349"/>
      <c r="L576" s="509"/>
    </row>
    <row r="577" spans="1:12" x14ac:dyDescent="0.25">
      <c r="A577" s="574"/>
      <c r="B577" s="348" t="s">
        <v>577</v>
      </c>
      <c r="C577" s="349"/>
      <c r="D577" s="349"/>
      <c r="E577" s="349"/>
      <c r="F577" s="349"/>
      <c r="G577" s="349"/>
      <c r="H577" s="221">
        <v>27.02</v>
      </c>
      <c r="I577" s="349"/>
      <c r="J577" s="349"/>
      <c r="K577" s="349"/>
      <c r="L577" s="509"/>
    </row>
    <row r="578" spans="1:12" x14ac:dyDescent="0.25">
      <c r="A578" s="574"/>
      <c r="B578" s="348" t="s">
        <v>578</v>
      </c>
      <c r="C578" s="349"/>
      <c r="D578" s="349"/>
      <c r="E578" s="349"/>
      <c r="F578" s="349"/>
      <c r="G578" s="349"/>
      <c r="H578" s="221">
        <v>29.28</v>
      </c>
      <c r="I578" s="349"/>
      <c r="J578" s="349"/>
      <c r="K578" s="349"/>
      <c r="L578" s="509"/>
    </row>
    <row r="579" spans="1:12" x14ac:dyDescent="0.25">
      <c r="A579" s="574"/>
      <c r="B579" s="262" t="s">
        <v>579</v>
      </c>
      <c r="C579" s="263"/>
      <c r="D579" s="263"/>
      <c r="E579" s="263"/>
      <c r="F579" s="263"/>
      <c r="G579" s="263"/>
      <c r="H579" s="264">
        <v>9.66</v>
      </c>
      <c r="I579" s="263"/>
      <c r="J579" s="263"/>
      <c r="K579" s="263"/>
      <c r="L579" s="566"/>
    </row>
    <row r="580" spans="1:12" x14ac:dyDescent="0.25">
      <c r="A580" s="574"/>
      <c r="B580" s="348" t="s">
        <v>580</v>
      </c>
      <c r="C580" s="349"/>
      <c r="D580" s="349"/>
      <c r="E580" s="349"/>
      <c r="F580" s="349"/>
      <c r="G580" s="349"/>
      <c r="H580" s="221">
        <v>50.49</v>
      </c>
      <c r="I580" s="349"/>
      <c r="J580" s="349"/>
      <c r="K580" s="349"/>
      <c r="L580" s="509"/>
    </row>
    <row r="581" spans="1:12" x14ac:dyDescent="0.25">
      <c r="A581" s="574"/>
      <c r="B581" s="348" t="s">
        <v>585</v>
      </c>
      <c r="C581" s="349"/>
      <c r="D581" s="349"/>
      <c r="E581" s="349"/>
      <c r="F581" s="349"/>
      <c r="G581" s="349"/>
      <c r="H581" s="221">
        <v>45.7</v>
      </c>
      <c r="I581" s="349"/>
      <c r="J581" s="349"/>
      <c r="K581" s="349"/>
      <c r="L581" s="509"/>
    </row>
    <row r="582" spans="1:12" x14ac:dyDescent="0.25">
      <c r="A582" s="574"/>
      <c r="B582" s="348" t="s">
        <v>586</v>
      </c>
      <c r="C582" s="349"/>
      <c r="D582" s="349"/>
      <c r="E582" s="349"/>
      <c r="F582" s="349"/>
      <c r="G582" s="349"/>
      <c r="H582" s="221">
        <v>47.14</v>
      </c>
      <c r="I582" s="349"/>
      <c r="J582" s="349"/>
      <c r="K582" s="349"/>
      <c r="L582" s="509"/>
    </row>
    <row r="583" spans="1:12" x14ac:dyDescent="0.25">
      <c r="A583" s="574"/>
      <c r="B583" s="348" t="s">
        <v>587</v>
      </c>
      <c r="C583" s="349"/>
      <c r="D583" s="349"/>
      <c r="E583" s="349"/>
      <c r="F583" s="349"/>
      <c r="G583" s="349"/>
      <c r="H583" s="221">
        <v>32.119999999999997</v>
      </c>
      <c r="I583" s="349"/>
      <c r="J583" s="349"/>
      <c r="K583" s="349"/>
      <c r="L583" s="510"/>
    </row>
    <row r="584" spans="1:12" x14ac:dyDescent="0.25">
      <c r="A584" s="119" t="s">
        <v>312</v>
      </c>
      <c r="B584" s="177" t="str">
        <f>'PLANILHA ORÇAMENTÁRIA'!D123</f>
        <v>GRADES E GUARDA-CORPO</v>
      </c>
      <c r="C584" s="181"/>
      <c r="D584" s="62"/>
      <c r="E584" s="62"/>
      <c r="F584" s="127"/>
      <c r="G584" s="178"/>
      <c r="H584" s="62"/>
      <c r="I584" s="62"/>
      <c r="J584" s="62"/>
      <c r="K584" s="62"/>
      <c r="L584" s="63"/>
    </row>
    <row r="585" spans="1:12" ht="47.25" x14ac:dyDescent="0.25">
      <c r="A585" s="576" t="s">
        <v>624</v>
      </c>
      <c r="B585" s="110" t="str">
        <f>'PLANILHA ORÇAMENTÁRIA'!D124</f>
        <v>Pintura com tinta esmalte sintético, cor branco, marcas de referência Suvinil, Coral ou Metalatex, a duas demãos, inclusive fundo anticorrosivo a uma demão, em metal</v>
      </c>
      <c r="C585" s="41" t="s">
        <v>11</v>
      </c>
      <c r="D585" s="43"/>
      <c r="E585" s="43"/>
      <c r="F585" s="43"/>
      <c r="G585" s="43"/>
      <c r="H585" s="43">
        <f>SUM(H586:H591)</f>
        <v>140.11000000000001</v>
      </c>
      <c r="I585" s="43"/>
      <c r="J585" s="43"/>
      <c r="K585" s="43"/>
      <c r="L585" s="333">
        <f>H585</f>
        <v>140.11000000000001</v>
      </c>
    </row>
    <row r="586" spans="1:12" x14ac:dyDescent="0.25">
      <c r="A586" s="588"/>
      <c r="B586" s="161" t="s">
        <v>574</v>
      </c>
      <c r="C586" s="162"/>
      <c r="D586" s="163"/>
      <c r="E586" s="163"/>
      <c r="F586" s="163"/>
      <c r="G586" s="163"/>
      <c r="H586" s="163">
        <v>13.9</v>
      </c>
      <c r="I586" s="163"/>
      <c r="J586" s="163"/>
      <c r="K586" s="163"/>
      <c r="L586" s="567"/>
    </row>
    <row r="587" spans="1:12" x14ac:dyDescent="0.25">
      <c r="A587" s="625"/>
      <c r="B587" s="286" t="s">
        <v>575</v>
      </c>
      <c r="C587" s="287"/>
      <c r="D587" s="288"/>
      <c r="E587" s="288"/>
      <c r="F587" s="288"/>
      <c r="G587" s="288"/>
      <c r="H587" s="288">
        <v>4</v>
      </c>
      <c r="I587" s="288"/>
      <c r="J587" s="288"/>
      <c r="K587" s="288"/>
      <c r="L587" s="568"/>
    </row>
    <row r="588" spans="1:12" x14ac:dyDescent="0.25">
      <c r="A588" s="625"/>
      <c r="B588" s="286" t="s">
        <v>576</v>
      </c>
      <c r="C588" s="287"/>
      <c r="D588" s="288"/>
      <c r="E588" s="288"/>
      <c r="F588" s="288"/>
      <c r="G588" s="288"/>
      <c r="H588" s="288">
        <v>1.8</v>
      </c>
      <c r="I588" s="288"/>
      <c r="J588" s="288"/>
      <c r="K588" s="288"/>
      <c r="L588" s="568"/>
    </row>
    <row r="589" spans="1:12" x14ac:dyDescent="0.25">
      <c r="A589" s="626"/>
      <c r="B589" s="289" t="s">
        <v>454</v>
      </c>
      <c r="C589" s="290"/>
      <c r="D589" s="290"/>
      <c r="E589" s="290"/>
      <c r="F589" s="290"/>
      <c r="G589" s="290"/>
      <c r="H589" s="291">
        <v>4.57</v>
      </c>
      <c r="I589" s="290"/>
      <c r="J589" s="290"/>
      <c r="K589" s="290"/>
      <c r="L589" s="569"/>
    </row>
    <row r="590" spans="1:12" x14ac:dyDescent="0.25">
      <c r="A590" s="626"/>
      <c r="B590" s="289" t="s">
        <v>533</v>
      </c>
      <c r="C590" s="290"/>
      <c r="D590" s="290"/>
      <c r="E590" s="290"/>
      <c r="F590" s="290"/>
      <c r="G590" s="290"/>
      <c r="H590" s="291">
        <v>30.76</v>
      </c>
      <c r="I590" s="290"/>
      <c r="J590" s="290"/>
      <c r="K590" s="290"/>
      <c r="L590" s="569"/>
    </row>
    <row r="591" spans="1:12" x14ac:dyDescent="0.25">
      <c r="A591" s="627"/>
      <c r="B591" s="292" t="s">
        <v>531</v>
      </c>
      <c r="C591" s="293"/>
      <c r="D591" s="293"/>
      <c r="E591" s="293"/>
      <c r="F591" s="293"/>
      <c r="G591" s="293"/>
      <c r="H591" s="294">
        <v>85.08</v>
      </c>
      <c r="I591" s="293"/>
      <c r="J591" s="293"/>
      <c r="K591" s="293"/>
      <c r="L591" s="570"/>
    </row>
    <row r="592" spans="1:12" x14ac:dyDescent="0.25">
      <c r="A592" s="274" t="s">
        <v>313</v>
      </c>
      <c r="B592" s="275" t="str">
        <f>'PLANILHA ORÇAMENTÁRIA'!D125</f>
        <v xml:space="preserve">SERVIÇOS COMPLEMENTARES </v>
      </c>
      <c r="C592" s="168"/>
      <c r="D592" s="175"/>
      <c r="E592" s="175"/>
      <c r="F592" s="175"/>
      <c r="G592" s="175"/>
      <c r="H592" s="175"/>
      <c r="I592" s="175"/>
      <c r="J592" s="175"/>
      <c r="K592" s="175"/>
      <c r="L592" s="176"/>
    </row>
    <row r="593" spans="1:13" x14ac:dyDescent="0.25">
      <c r="A593" s="628" t="s">
        <v>314</v>
      </c>
      <c r="B593" s="629" t="str">
        <f>'PLANILHA ORÇAMENTÁRIA'!D126</f>
        <v xml:space="preserve">Recolocação de prateleiras em granito </v>
      </c>
      <c r="C593" s="630" t="s">
        <v>11</v>
      </c>
      <c r="D593" s="631"/>
      <c r="E593" s="631"/>
      <c r="F593" s="631"/>
      <c r="G593" s="631"/>
      <c r="H593" s="631">
        <v>18.04</v>
      </c>
      <c r="I593" s="631"/>
      <c r="J593" s="631"/>
      <c r="K593" s="631"/>
      <c r="L593" s="632">
        <f>H593</f>
        <v>18.04</v>
      </c>
    </row>
    <row r="594" spans="1:13" x14ac:dyDescent="0.25">
      <c r="A594" s="142"/>
      <c r="B594" s="128"/>
      <c r="C594" s="142"/>
      <c r="D594" s="143"/>
      <c r="E594" s="143"/>
      <c r="F594" s="143"/>
      <c r="G594" s="143"/>
      <c r="H594" s="143"/>
      <c r="I594" s="143"/>
      <c r="J594" s="143"/>
      <c r="K594" s="143"/>
      <c r="L594" s="143"/>
      <c r="M594" s="128"/>
    </row>
    <row r="595" spans="1:13" x14ac:dyDescent="0.25">
      <c r="A595" s="142"/>
      <c r="B595" s="128"/>
      <c r="C595" s="142"/>
      <c r="D595" s="143"/>
      <c r="E595" s="143"/>
      <c r="F595" s="143"/>
      <c r="G595" s="143"/>
      <c r="H595" s="143"/>
      <c r="I595" s="143"/>
      <c r="J595" s="143"/>
      <c r="K595" s="143"/>
      <c r="L595" s="143"/>
      <c r="M595" s="128"/>
    </row>
    <row r="596" spans="1:13" x14ac:dyDescent="0.25">
      <c r="A596" s="142"/>
      <c r="B596" s="128"/>
      <c r="C596" s="142"/>
      <c r="D596" s="143"/>
      <c r="E596" s="143"/>
      <c r="F596" s="143"/>
      <c r="G596" s="143"/>
      <c r="H596" s="143"/>
      <c r="I596" s="143"/>
      <c r="J596" s="143"/>
      <c r="K596" s="143"/>
      <c r="L596" s="143"/>
      <c r="M596" s="128"/>
    </row>
    <row r="597" spans="1:13" x14ac:dyDescent="0.25">
      <c r="A597" s="142"/>
      <c r="B597" s="128"/>
      <c r="C597" s="142"/>
      <c r="D597" s="143"/>
      <c r="E597" s="143"/>
      <c r="F597" s="143"/>
      <c r="G597" s="143"/>
      <c r="H597" s="143"/>
      <c r="I597" s="143"/>
      <c r="J597" s="143"/>
      <c r="K597" s="143"/>
      <c r="L597" s="143"/>
      <c r="M597" s="128"/>
    </row>
    <row r="598" spans="1:13" x14ac:dyDescent="0.25">
      <c r="A598" s="142"/>
      <c r="B598" s="128"/>
      <c r="C598" s="142"/>
      <c r="D598" s="143"/>
      <c r="E598" s="143"/>
      <c r="F598" s="143"/>
      <c r="G598" s="143"/>
      <c r="H598" s="143"/>
      <c r="I598" s="143"/>
      <c r="J598" s="143"/>
      <c r="K598" s="143"/>
      <c r="L598" s="143"/>
      <c r="M598" s="128"/>
    </row>
    <row r="599" spans="1:13" x14ac:dyDescent="0.25">
      <c r="A599" s="142"/>
      <c r="B599" s="128"/>
      <c r="C599" s="142"/>
      <c r="D599" s="143"/>
      <c r="E599" s="143"/>
      <c r="F599" s="143"/>
      <c r="G599" s="143"/>
      <c r="H599" s="143"/>
      <c r="I599" s="143"/>
      <c r="J599" s="143"/>
      <c r="K599" s="143"/>
      <c r="L599" s="143"/>
      <c r="M599" s="128"/>
    </row>
    <row r="600" spans="1:13" x14ac:dyDescent="0.25">
      <c r="A600" s="142"/>
      <c r="B600" s="128"/>
      <c r="C600" s="142"/>
      <c r="D600" s="143"/>
      <c r="E600" s="143"/>
      <c r="F600" s="143"/>
      <c r="G600" s="143"/>
      <c r="H600" s="143"/>
      <c r="I600" s="143"/>
      <c r="J600" s="143"/>
      <c r="K600" s="143"/>
      <c r="L600" s="143"/>
      <c r="M600" s="128"/>
    </row>
    <row r="601" spans="1:13" x14ac:dyDescent="0.25">
      <c r="A601" s="142"/>
      <c r="B601" s="128"/>
      <c r="C601" s="142"/>
      <c r="D601" s="143"/>
      <c r="E601" s="143"/>
      <c r="F601" s="143"/>
      <c r="G601" s="143"/>
      <c r="H601" s="143"/>
      <c r="I601" s="143"/>
      <c r="J601" s="143"/>
      <c r="K601" s="143"/>
      <c r="L601" s="143"/>
      <c r="M601" s="128"/>
    </row>
    <row r="602" spans="1:13" x14ac:dyDescent="0.25">
      <c r="A602" s="142"/>
      <c r="B602" s="128"/>
      <c r="C602" s="142"/>
      <c r="D602" s="143"/>
      <c r="E602" s="143"/>
      <c r="F602" s="143"/>
      <c r="G602" s="143"/>
      <c r="H602" s="143"/>
      <c r="I602" s="143"/>
      <c r="J602" s="143"/>
      <c r="K602" s="143"/>
      <c r="L602" s="143"/>
      <c r="M602" s="128"/>
    </row>
    <row r="603" spans="1:13" x14ac:dyDescent="0.25">
      <c r="A603" s="142"/>
      <c r="B603" s="128"/>
      <c r="C603" s="142"/>
      <c r="D603" s="143"/>
      <c r="E603" s="143"/>
      <c r="F603" s="143"/>
      <c r="G603" s="143"/>
      <c r="H603" s="143"/>
      <c r="I603" s="143"/>
      <c r="J603" s="143"/>
      <c r="K603" s="143"/>
      <c r="L603" s="143"/>
      <c r="M603" s="128"/>
    </row>
    <row r="604" spans="1:13" x14ac:dyDescent="0.25">
      <c r="A604" s="142"/>
      <c r="B604" s="128"/>
      <c r="C604" s="142"/>
      <c r="D604" s="143"/>
      <c r="E604" s="143"/>
      <c r="F604" s="143"/>
      <c r="G604" s="143"/>
      <c r="H604" s="143"/>
      <c r="I604" s="143"/>
      <c r="J604" s="143"/>
      <c r="K604" s="143"/>
      <c r="L604" s="143"/>
      <c r="M604" s="128"/>
    </row>
    <row r="605" spans="1:13" x14ac:dyDescent="0.25">
      <c r="A605" s="142"/>
      <c r="B605" s="128"/>
      <c r="C605" s="142"/>
      <c r="D605" s="143"/>
      <c r="E605" s="143"/>
      <c r="F605" s="143"/>
      <c r="G605" s="143"/>
      <c r="H605" s="143"/>
      <c r="I605" s="143"/>
      <c r="J605" s="143"/>
      <c r="K605" s="143"/>
      <c r="L605" s="143"/>
      <c r="M605" s="128"/>
    </row>
    <row r="606" spans="1:13" x14ac:dyDescent="0.25">
      <c r="A606" s="142"/>
      <c r="B606" s="128"/>
      <c r="C606" s="142"/>
      <c r="D606" s="143"/>
      <c r="E606" s="143"/>
      <c r="F606" s="143"/>
      <c r="G606" s="143"/>
      <c r="H606" s="143"/>
      <c r="I606" s="143"/>
      <c r="J606" s="143"/>
      <c r="K606" s="143"/>
      <c r="L606" s="143"/>
      <c r="M606" s="128"/>
    </row>
    <row r="607" spans="1:13" x14ac:dyDescent="0.25">
      <c r="A607" s="142"/>
      <c r="B607" s="128"/>
      <c r="C607" s="142"/>
      <c r="D607" s="143"/>
      <c r="E607" s="143"/>
      <c r="F607" s="143"/>
      <c r="G607" s="143"/>
      <c r="H607" s="143"/>
      <c r="I607" s="143"/>
      <c r="J607" s="143"/>
      <c r="K607" s="143"/>
      <c r="L607" s="143"/>
      <c r="M607" s="128"/>
    </row>
    <row r="608" spans="1:13" x14ac:dyDescent="0.25">
      <c r="A608" s="142"/>
      <c r="B608" s="128"/>
      <c r="C608" s="142"/>
      <c r="D608" s="143"/>
      <c r="E608" s="143"/>
      <c r="F608" s="143"/>
      <c r="G608" s="143"/>
      <c r="H608" s="143"/>
      <c r="I608" s="143"/>
      <c r="J608" s="143"/>
      <c r="K608" s="143"/>
      <c r="L608" s="143"/>
      <c r="M608" s="128"/>
    </row>
    <row r="609" spans="1:13" x14ac:dyDescent="0.25">
      <c r="A609" s="142"/>
      <c r="B609" s="128"/>
      <c r="C609" s="142"/>
      <c r="D609" s="143"/>
      <c r="E609" s="143"/>
      <c r="F609" s="143"/>
      <c r="G609" s="143"/>
      <c r="H609" s="143"/>
      <c r="I609" s="143"/>
      <c r="J609" s="143"/>
      <c r="K609" s="143"/>
      <c r="L609" s="143"/>
      <c r="M609" s="128"/>
    </row>
    <row r="610" spans="1:13" x14ac:dyDescent="0.25">
      <c r="A610" s="142"/>
      <c r="B610" s="128"/>
      <c r="C610" s="142"/>
      <c r="D610" s="143"/>
      <c r="E610" s="143"/>
      <c r="F610" s="143"/>
      <c r="G610" s="143"/>
      <c r="H610" s="143"/>
      <c r="I610" s="143"/>
      <c r="J610" s="143"/>
      <c r="K610" s="143"/>
      <c r="L610" s="143"/>
      <c r="M610" s="128"/>
    </row>
    <row r="611" spans="1:13" x14ac:dyDescent="0.25">
      <c r="A611" s="142"/>
      <c r="B611" s="128"/>
      <c r="C611" s="142"/>
      <c r="D611" s="143"/>
      <c r="E611" s="143"/>
      <c r="F611" s="143"/>
      <c r="G611" s="143"/>
      <c r="H611" s="143"/>
      <c r="I611" s="143"/>
      <c r="J611" s="143"/>
      <c r="K611" s="143"/>
      <c r="L611" s="143"/>
      <c r="M611" s="128"/>
    </row>
    <row r="612" spans="1:13" x14ac:dyDescent="0.25">
      <c r="A612" s="142"/>
      <c r="B612" s="128"/>
      <c r="C612" s="142"/>
      <c r="D612" s="143"/>
      <c r="E612" s="143"/>
      <c r="F612" s="143"/>
      <c r="G612" s="143"/>
      <c r="H612" s="143"/>
      <c r="I612" s="143"/>
      <c r="J612" s="143"/>
      <c r="K612" s="143"/>
      <c r="L612" s="143"/>
      <c r="M612" s="128"/>
    </row>
    <row r="613" spans="1:13" x14ac:dyDescent="0.25">
      <c r="A613" s="142"/>
      <c r="B613" s="128"/>
      <c r="C613" s="142"/>
      <c r="D613" s="143"/>
      <c r="E613" s="143"/>
      <c r="F613" s="143"/>
      <c r="G613" s="143"/>
      <c r="H613" s="143"/>
      <c r="I613" s="143"/>
      <c r="J613" s="143"/>
      <c r="K613" s="143"/>
      <c r="L613" s="143"/>
      <c r="M613" s="128"/>
    </row>
    <row r="614" spans="1:13" x14ac:dyDescent="0.25">
      <c r="A614" s="142"/>
      <c r="B614" s="128"/>
      <c r="C614" s="142"/>
      <c r="D614" s="143"/>
      <c r="E614" s="143"/>
      <c r="F614" s="143"/>
      <c r="G614" s="143"/>
      <c r="H614" s="143"/>
      <c r="I614" s="143"/>
      <c r="J614" s="143"/>
      <c r="K614" s="143"/>
      <c r="L614" s="143"/>
      <c r="M614" s="128"/>
    </row>
    <row r="615" spans="1:13" x14ac:dyDescent="0.25">
      <c r="A615" s="142"/>
      <c r="B615" s="128"/>
      <c r="C615" s="142"/>
      <c r="D615" s="143"/>
      <c r="E615" s="143"/>
      <c r="F615" s="143"/>
      <c r="G615" s="143"/>
      <c r="H615" s="143"/>
      <c r="I615" s="143"/>
      <c r="J615" s="143"/>
      <c r="K615" s="143"/>
      <c r="L615" s="143"/>
      <c r="M615" s="128"/>
    </row>
    <row r="616" spans="1:13" x14ac:dyDescent="0.25">
      <c r="A616" s="142"/>
      <c r="B616" s="128"/>
      <c r="C616" s="142"/>
      <c r="D616" s="143"/>
      <c r="E616" s="143"/>
      <c r="F616" s="143"/>
      <c r="G616" s="143"/>
      <c r="H616" s="143"/>
      <c r="I616" s="143"/>
      <c r="J616" s="143"/>
      <c r="K616" s="143"/>
      <c r="L616" s="143"/>
      <c r="M616" s="128"/>
    </row>
    <row r="617" spans="1:13" x14ac:dyDescent="0.25">
      <c r="A617" s="142"/>
      <c r="B617" s="128"/>
      <c r="C617" s="142"/>
      <c r="D617" s="143"/>
      <c r="E617" s="143"/>
      <c r="F617" s="143"/>
      <c r="G617" s="143"/>
      <c r="H617" s="143"/>
      <c r="I617" s="143"/>
      <c r="J617" s="143"/>
      <c r="K617" s="143"/>
      <c r="L617" s="143"/>
      <c r="M617" s="128"/>
    </row>
    <row r="618" spans="1:13" x14ac:dyDescent="0.25">
      <c r="A618" s="142"/>
      <c r="B618" s="128"/>
      <c r="C618" s="142"/>
      <c r="D618" s="143"/>
      <c r="E618" s="143"/>
      <c r="F618" s="143"/>
      <c r="G618" s="143"/>
      <c r="H618" s="143"/>
      <c r="I618" s="143"/>
      <c r="J618" s="143"/>
      <c r="K618" s="143"/>
      <c r="L618" s="143"/>
      <c r="M618" s="128"/>
    </row>
    <row r="619" spans="1:13" x14ac:dyDescent="0.25">
      <c r="A619" s="142"/>
      <c r="B619" s="128"/>
      <c r="C619" s="142"/>
      <c r="D619" s="143"/>
      <c r="E619" s="143"/>
      <c r="F619" s="143"/>
      <c r="G619" s="143"/>
      <c r="H619" s="143"/>
      <c r="I619" s="143"/>
      <c r="J619" s="143"/>
      <c r="K619" s="143"/>
      <c r="L619" s="143"/>
      <c r="M619" s="128"/>
    </row>
    <row r="620" spans="1:13" x14ac:dyDescent="0.25">
      <c r="A620" s="142"/>
      <c r="B620" s="128"/>
      <c r="C620" s="142"/>
      <c r="D620" s="143"/>
      <c r="E620" s="143"/>
      <c r="F620" s="143"/>
      <c r="G620" s="143"/>
      <c r="H620" s="143"/>
      <c r="I620" s="143"/>
      <c r="J620" s="143"/>
      <c r="K620" s="143"/>
      <c r="L620" s="143"/>
      <c r="M620" s="128"/>
    </row>
  </sheetData>
  <mergeCells count="73">
    <mergeCell ref="B556:G556"/>
    <mergeCell ref="B172:L172"/>
    <mergeCell ref="B555:G555"/>
    <mergeCell ref="B557:G557"/>
    <mergeCell ref="B205:G205"/>
    <mergeCell ref="B203:G203"/>
    <mergeCell ref="B204:G204"/>
    <mergeCell ref="B232:L232"/>
    <mergeCell ref="B366:L366"/>
    <mergeCell ref="B537:G537"/>
    <mergeCell ref="B546:G546"/>
    <mergeCell ref="B547:G547"/>
    <mergeCell ref="B553:G553"/>
    <mergeCell ref="B212:G212"/>
    <mergeCell ref="B214:G214"/>
    <mergeCell ref="B565:G565"/>
    <mergeCell ref="B566:G566"/>
    <mergeCell ref="B567:G567"/>
    <mergeCell ref="B568:G568"/>
    <mergeCell ref="B560:G560"/>
    <mergeCell ref="B561:G561"/>
    <mergeCell ref="B562:G562"/>
    <mergeCell ref="B563:G563"/>
    <mergeCell ref="B564:G564"/>
    <mergeCell ref="B95:G95"/>
    <mergeCell ref="B96:G96"/>
    <mergeCell ref="B48:G48"/>
    <mergeCell ref="B49:G49"/>
    <mergeCell ref="B53:G53"/>
    <mergeCell ref="B91:G91"/>
    <mergeCell ref="B93:G93"/>
    <mergeCell ref="B51:G51"/>
    <mergeCell ref="C6:L6"/>
    <mergeCell ref="C7:L7"/>
    <mergeCell ref="B47:G47"/>
    <mergeCell ref="B52:G52"/>
    <mergeCell ref="A1:E1"/>
    <mergeCell ref="F1:L3"/>
    <mergeCell ref="A2:E2"/>
    <mergeCell ref="A3:E3"/>
    <mergeCell ref="A4:L4"/>
    <mergeCell ref="B559:G559"/>
    <mergeCell ref="B552:G552"/>
    <mergeCell ref="B58:D58"/>
    <mergeCell ref="B59:D59"/>
    <mergeCell ref="B101:G101"/>
    <mergeCell ref="B550:G550"/>
    <mergeCell ref="B551:G551"/>
    <mergeCell ref="B219:G219"/>
    <mergeCell ref="B220:G220"/>
    <mergeCell ref="B211:G211"/>
    <mergeCell ref="B215:G215"/>
    <mergeCell ref="B533:G533"/>
    <mergeCell ref="B535:G535"/>
    <mergeCell ref="B94:G94"/>
    <mergeCell ref="B97:G97"/>
    <mergeCell ref="B123:L123"/>
    <mergeCell ref="B576:G576"/>
    <mergeCell ref="B575:G575"/>
    <mergeCell ref="B126:L126"/>
    <mergeCell ref="B131:L131"/>
    <mergeCell ref="B572:G572"/>
    <mergeCell ref="B573:G573"/>
    <mergeCell ref="B574:G574"/>
    <mergeCell ref="B570:G570"/>
    <mergeCell ref="B569:G569"/>
    <mergeCell ref="B558:G558"/>
    <mergeCell ref="B554:G554"/>
    <mergeCell ref="B548:G548"/>
    <mergeCell ref="B549:G549"/>
    <mergeCell ref="B207:G207"/>
    <mergeCell ref="B208:G208"/>
    <mergeCell ref="B209:G209"/>
  </mergeCells>
  <pageMargins left="0.511811024" right="0.511811024" top="1.1916666666666667" bottom="0.78740157499999996" header="0.31496062000000002" footer="0.31496062000000002"/>
  <pageSetup paperSize="9" scale="76" fitToHeight="0" orientation="landscape" verticalDpi="4294967293" r:id="rId1"/>
  <headerFooter>
    <oddHeader>&amp;C&amp;G</oddHeader>
    <oddFooter>&amp;C&amp;"-,Itálico"Logradouro: Rua Elias Estevão Colnago, nº 65 – Centro - Itarana/ES. CEP 29620-000 
Tel.: (27) 3720-4900 – Site: www.itarana.es.gov.br – CNPJ: 27.104.363/0001-23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zoomScaleNormal="100" zoomScaleSheetLayoutView="100" zoomScalePageLayoutView="90" workbookViewId="0">
      <selection activeCell="B13" sqref="B13"/>
    </sheetView>
  </sheetViews>
  <sheetFormatPr defaultRowHeight="15" x14ac:dyDescent="0.25"/>
  <cols>
    <col min="2" max="2" width="49.5703125" customWidth="1"/>
    <col min="3" max="3" width="17.5703125" customWidth="1"/>
    <col min="4" max="4" width="20.140625" customWidth="1"/>
    <col min="5" max="5" width="13.85546875" customWidth="1"/>
    <col min="6" max="8" width="13.28515625" customWidth="1"/>
    <col min="9" max="9" width="12.28515625" customWidth="1"/>
    <col min="10" max="10" width="10.140625" bestFit="1" customWidth="1"/>
  </cols>
  <sheetData>
    <row r="1" spans="1:11" ht="30" customHeight="1" x14ac:dyDescent="0.25">
      <c r="A1" s="635" t="s">
        <v>627</v>
      </c>
      <c r="B1" s="636"/>
      <c r="C1" s="636"/>
      <c r="D1" s="636"/>
      <c r="E1" s="637" t="s">
        <v>24</v>
      </c>
      <c r="F1" s="637"/>
      <c r="G1" s="637"/>
      <c r="H1" s="637"/>
      <c r="I1" s="637"/>
    </row>
    <row r="2" spans="1:11" x14ac:dyDescent="0.25">
      <c r="A2" s="638" t="s">
        <v>647</v>
      </c>
      <c r="B2" s="638"/>
      <c r="C2" s="638"/>
      <c r="D2" s="638"/>
      <c r="E2" s="637"/>
      <c r="F2" s="637"/>
      <c r="G2" s="637"/>
      <c r="H2" s="637"/>
      <c r="I2" s="637"/>
    </row>
    <row r="3" spans="1:11" x14ac:dyDescent="0.25">
      <c r="A3" s="427" t="s">
        <v>25</v>
      </c>
      <c r="B3" s="427" t="s">
        <v>26</v>
      </c>
      <c r="C3" s="427" t="s">
        <v>27</v>
      </c>
      <c r="D3" s="427" t="s">
        <v>28</v>
      </c>
      <c r="E3" s="633" t="s">
        <v>29</v>
      </c>
      <c r="F3" s="633"/>
      <c r="G3" s="633"/>
      <c r="H3" s="633"/>
      <c r="I3" s="633"/>
    </row>
    <row r="4" spans="1:11" x14ac:dyDescent="0.25">
      <c r="A4" s="427"/>
      <c r="B4" s="427"/>
      <c r="C4" s="427"/>
      <c r="D4" s="427"/>
      <c r="E4" s="16">
        <v>1</v>
      </c>
      <c r="F4" s="16">
        <v>2</v>
      </c>
      <c r="G4" s="16">
        <v>3</v>
      </c>
      <c r="H4" s="16">
        <v>4</v>
      </c>
      <c r="I4" s="16">
        <v>5</v>
      </c>
    </row>
    <row r="5" spans="1:11" x14ac:dyDescent="0.25">
      <c r="A5" s="1" t="s">
        <v>9</v>
      </c>
      <c r="B5" s="3" t="str">
        <f>'PLANILHA ORÇAMENTÁRIA'!D8</f>
        <v>SERVIÇOS PRELIMINARES</v>
      </c>
      <c r="C5" s="18">
        <f>'PLANILHA ORÇAMENTÁRIA'!H8</f>
        <v>13354.269999999999</v>
      </c>
      <c r="D5" s="19">
        <f t="shared" ref="D5:D20" si="0">C5/$C$21</f>
        <v>6.168668895238405E-2</v>
      </c>
      <c r="E5" s="318">
        <f>C5</f>
        <v>13354.269999999999</v>
      </c>
      <c r="F5" s="144"/>
      <c r="G5" s="144"/>
      <c r="H5" s="144"/>
      <c r="I5" s="144"/>
      <c r="J5" s="2"/>
      <c r="K5" s="2"/>
    </row>
    <row r="6" spans="1:11" x14ac:dyDescent="0.25">
      <c r="A6" s="1" t="s">
        <v>12</v>
      </c>
      <c r="B6" s="3" t="str">
        <f>'PLANILHA ORÇAMENTÁRIA'!D25</f>
        <v>PAREDES E DIVISÓRIAS</v>
      </c>
      <c r="C6" s="18">
        <f>'PLANILHA ORÇAMENTÁRIA'!H25</f>
        <v>45423.01999999999</v>
      </c>
      <c r="D6" s="19">
        <f t="shared" si="0"/>
        <v>0.20982020777009297</v>
      </c>
      <c r="E6" s="318">
        <f>C6/2</f>
        <v>22711.509999999995</v>
      </c>
      <c r="F6" s="144"/>
      <c r="G6" s="144"/>
      <c r="H6" s="144"/>
      <c r="I6" s="318">
        <f>C6/2</f>
        <v>22711.509999999995</v>
      </c>
      <c r="J6" s="2"/>
      <c r="K6" s="2"/>
    </row>
    <row r="7" spans="1:11" x14ac:dyDescent="0.25">
      <c r="A7" s="1" t="s">
        <v>13</v>
      </c>
      <c r="B7" s="3" t="str">
        <f>'PLANILHA ORÇAMENTÁRIA'!D37</f>
        <v xml:space="preserve">REPAROS </v>
      </c>
      <c r="C7" s="18">
        <f>'PLANILHA ORÇAMENTÁRIA'!H37</f>
        <v>1642.1200000000001</v>
      </c>
      <c r="D7" s="19">
        <f t="shared" si="0"/>
        <v>7.5853600131260577E-3</v>
      </c>
      <c r="E7" s="318">
        <f>C7</f>
        <v>1642.1200000000001</v>
      </c>
      <c r="F7" s="144"/>
      <c r="G7" s="144"/>
      <c r="H7" s="144"/>
      <c r="I7" s="144"/>
      <c r="J7" s="2"/>
      <c r="K7" s="2"/>
    </row>
    <row r="8" spans="1:11" x14ac:dyDescent="0.25">
      <c r="A8" s="1" t="s">
        <v>266</v>
      </c>
      <c r="B8" s="3" t="str">
        <f>'PLANILHA ORÇAMENTÁRIA'!D41</f>
        <v>ESQUADRIA METÁLICA</v>
      </c>
      <c r="C8" s="18">
        <f>'PLANILHA ORÇAMENTÁRIA'!H41</f>
        <v>8911.2899999999991</v>
      </c>
      <c r="D8" s="19">
        <f t="shared" si="0"/>
        <v>4.1163461154708605E-2</v>
      </c>
      <c r="E8" s="318">
        <f>C8/2</f>
        <v>4455.6449999999995</v>
      </c>
      <c r="F8" s="319"/>
      <c r="G8" s="639"/>
      <c r="H8" s="144"/>
      <c r="I8" s="318">
        <f>C8/2</f>
        <v>4455.6449999999995</v>
      </c>
      <c r="J8" s="2"/>
      <c r="K8" s="2"/>
    </row>
    <row r="9" spans="1:11" x14ac:dyDescent="0.25">
      <c r="A9" s="1" t="s">
        <v>269</v>
      </c>
      <c r="B9" s="3" t="str">
        <f>'PLANILHA ORÇAMENTÁRIA'!D45</f>
        <v>COBERTURA</v>
      </c>
      <c r="C9" s="18">
        <f>'PLANILHA ORÇAMENTÁRIA'!H45</f>
        <v>25439.82</v>
      </c>
      <c r="D9" s="19">
        <f t="shared" si="0"/>
        <v>0.11751284520566373</v>
      </c>
      <c r="E9" s="144"/>
      <c r="F9" s="318">
        <f>C9/2</f>
        <v>12719.91</v>
      </c>
      <c r="G9" s="640">
        <f>C9/2</f>
        <v>12719.91</v>
      </c>
      <c r="H9" s="144"/>
      <c r="I9" s="144"/>
      <c r="J9" s="2"/>
      <c r="K9" s="2"/>
    </row>
    <row r="10" spans="1:11" x14ac:dyDescent="0.25">
      <c r="A10" s="1" t="s">
        <v>274</v>
      </c>
      <c r="B10" s="3" t="str">
        <f>'PLANILHA ORÇAMENTÁRIA'!D51</f>
        <v>ESTRUTURAS EM CONCRETO</v>
      </c>
      <c r="C10" s="18">
        <f>'PLANILHA ORÇAMENTÁRIA'!H51</f>
        <v>2651.57</v>
      </c>
      <c r="D10" s="19">
        <f t="shared" si="0"/>
        <v>1.2248260206321498E-2</v>
      </c>
      <c r="E10" s="144"/>
      <c r="F10" s="318">
        <f>C10</f>
        <v>2651.57</v>
      </c>
      <c r="G10" s="144"/>
      <c r="H10" s="144"/>
      <c r="I10" s="144"/>
      <c r="J10" s="2"/>
      <c r="K10" s="2"/>
    </row>
    <row r="11" spans="1:11" x14ac:dyDescent="0.25">
      <c r="A11" s="1" t="s">
        <v>277</v>
      </c>
      <c r="B11" s="3" t="str">
        <f>'PLANILHA ORÇAMENTÁRIA'!D54</f>
        <v>REVESTIMENTO DE TETOS</v>
      </c>
      <c r="C11" s="18">
        <f>'PLANILHA ORÇAMENTÁRIA'!H54</f>
        <v>16324.420000000002</v>
      </c>
      <c r="D11" s="19">
        <f t="shared" si="0"/>
        <v>7.5406549281097163E-2</v>
      </c>
      <c r="E11" s="144"/>
      <c r="F11" s="144"/>
      <c r="G11" s="144"/>
      <c r="H11" s="318">
        <f>C11</f>
        <v>16324.420000000002</v>
      </c>
      <c r="I11" s="144"/>
      <c r="J11" s="2"/>
      <c r="K11" s="2"/>
    </row>
    <row r="12" spans="1:11" x14ac:dyDescent="0.25">
      <c r="A12" s="1" t="s">
        <v>278</v>
      </c>
      <c r="B12" s="3" t="str">
        <f>'PLANILHA ORÇAMENTÁRIA'!D56</f>
        <v>REVESTIMENTO DE PAREDES</v>
      </c>
      <c r="C12" s="18">
        <f>'PLANILHA ORÇAMENTÁRIA'!H56</f>
        <v>16992.850000000002</v>
      </c>
      <c r="D12" s="19">
        <f t="shared" si="0"/>
        <v>7.8494193420121025E-2</v>
      </c>
      <c r="E12" s="144"/>
      <c r="F12" s="144"/>
      <c r="G12" s="318">
        <f>C12</f>
        <v>16992.850000000002</v>
      </c>
      <c r="H12" s="144"/>
      <c r="I12" s="144"/>
      <c r="J12" s="2"/>
      <c r="K12" s="2"/>
    </row>
    <row r="13" spans="1:11" x14ac:dyDescent="0.25">
      <c r="A13" s="1" t="s">
        <v>280</v>
      </c>
      <c r="B13" s="3" t="str">
        <f>'PLANILHA ORÇAMENTÁRIA'!D62</f>
        <v>REVESTIMENTO DE PISOS</v>
      </c>
      <c r="C13" s="18">
        <f>'PLANILHA ORÇAMENTÁRIA'!H62</f>
        <v>4368.25</v>
      </c>
      <c r="D13" s="19">
        <f t="shared" si="0"/>
        <v>2.0178031372456273E-2</v>
      </c>
      <c r="E13" s="144"/>
      <c r="F13" s="144"/>
      <c r="G13" s="318">
        <f>C13</f>
        <v>4368.25</v>
      </c>
      <c r="H13" s="144"/>
      <c r="I13" s="144"/>
      <c r="J13" s="2"/>
      <c r="K13" s="2"/>
    </row>
    <row r="14" spans="1:11" x14ac:dyDescent="0.25">
      <c r="A14" s="1" t="s">
        <v>282</v>
      </c>
      <c r="B14" s="3" t="str">
        <f>'PLANILHA ORÇAMENTÁRIA'!D66</f>
        <v>INSTALAÇÕES HIDROSSANITÁRIAS</v>
      </c>
      <c r="C14" s="18">
        <f>'PLANILHA ORÇAMENTÁRIA'!H66</f>
        <v>4439.13</v>
      </c>
      <c r="D14" s="19">
        <f t="shared" si="0"/>
        <v>2.0505443691732805E-2</v>
      </c>
      <c r="E14" s="144"/>
      <c r="F14" s="318">
        <f>C14</f>
        <v>4439.13</v>
      </c>
      <c r="G14" s="144"/>
      <c r="H14" s="144"/>
      <c r="I14" s="144"/>
      <c r="J14" s="2"/>
      <c r="K14" s="2"/>
    </row>
    <row r="15" spans="1:11" x14ac:dyDescent="0.25">
      <c r="A15" s="1" t="s">
        <v>286</v>
      </c>
      <c r="B15" s="3" t="str">
        <f>'PLANILHA ORÇAMENTÁRIA'!D77</f>
        <v>INSTALAÇÕES ELÉTRICAS</v>
      </c>
      <c r="C15" s="18">
        <f>'PLANILHA ORÇAMENTÁRIA'!H77</f>
        <v>13868.41</v>
      </c>
      <c r="D15" s="19">
        <f t="shared" si="0"/>
        <v>6.4061629271696063E-2</v>
      </c>
      <c r="E15" s="144"/>
      <c r="F15" s="318">
        <f>C15/2</f>
        <v>6934.2049999999999</v>
      </c>
      <c r="G15" s="318">
        <f>C15/2</f>
        <v>6934.2049999999999</v>
      </c>
      <c r="H15" s="144"/>
      <c r="I15" s="144"/>
      <c r="J15" s="2"/>
      <c r="K15" s="2"/>
    </row>
    <row r="16" spans="1:11" x14ac:dyDescent="0.25">
      <c r="A16" s="1" t="s">
        <v>294</v>
      </c>
      <c r="B16" s="3" t="str">
        <f>'PLANILHA ORÇAMENTÁRIA'!D87</f>
        <v xml:space="preserve">APARELHOS SANITÁRIOS </v>
      </c>
      <c r="C16" s="18">
        <f>'PLANILHA ORÇAMENTÁRIA'!H87</f>
        <v>7521.34</v>
      </c>
      <c r="D16" s="19">
        <f t="shared" si="0"/>
        <v>3.4742936984584277E-2</v>
      </c>
      <c r="E16" s="144"/>
      <c r="F16" s="144"/>
      <c r="G16" s="144"/>
      <c r="H16" s="318">
        <f>C16</f>
        <v>7521.34</v>
      </c>
      <c r="I16" s="144"/>
      <c r="J16" s="2"/>
      <c r="K16" s="2"/>
    </row>
    <row r="17" spans="1:11" x14ac:dyDescent="0.25">
      <c r="A17" s="1" t="s">
        <v>299</v>
      </c>
      <c r="B17" s="3" t="str">
        <f>'PLANILHA ORÇAMENTÁRIA'!D102</f>
        <v>APARELHOS ELÉTRICOS</v>
      </c>
      <c r="C17" s="18">
        <f>'PLANILHA ORÇAMENTÁRIA'!H102</f>
        <v>7956.15</v>
      </c>
      <c r="D17" s="19">
        <f t="shared" si="0"/>
        <v>3.6751432336511874E-2</v>
      </c>
      <c r="E17" s="144"/>
      <c r="F17" s="144"/>
      <c r="G17" s="144"/>
      <c r="H17" s="318">
        <f>C17</f>
        <v>7956.15</v>
      </c>
      <c r="I17" s="144"/>
      <c r="J17" s="2"/>
      <c r="K17" s="2"/>
    </row>
    <row r="18" spans="1:11" x14ac:dyDescent="0.25">
      <c r="A18" s="1" t="s">
        <v>306</v>
      </c>
      <c r="B18" s="3" t="str">
        <f>'PLANILHA ORÇAMENTÁRIA'!D111</f>
        <v>PAISAGISMO</v>
      </c>
      <c r="C18" s="18">
        <f>'PLANILHA ORÇAMENTÁRIA'!H111</f>
        <v>1318.24</v>
      </c>
      <c r="D18" s="19">
        <f t="shared" si="0"/>
        <v>6.0892778747614626E-3</v>
      </c>
      <c r="E18" s="144"/>
      <c r="F18" s="144"/>
      <c r="G18" s="144"/>
      <c r="H18" s="318">
        <f>C18</f>
        <v>1318.24</v>
      </c>
      <c r="I18" s="144"/>
      <c r="J18" s="2"/>
      <c r="K18" s="2"/>
    </row>
    <row r="19" spans="1:11" x14ac:dyDescent="0.25">
      <c r="A19" s="1" t="s">
        <v>309</v>
      </c>
      <c r="B19" s="3" t="str">
        <f>'PLANILHA ORÇAMENTÁRIA'!D115</f>
        <v xml:space="preserve">PINTURA </v>
      </c>
      <c r="C19" s="18">
        <f>'PLANILHA ORÇAMENTÁRIA'!H115</f>
        <v>45596.08</v>
      </c>
      <c r="D19" s="19">
        <f t="shared" si="0"/>
        <v>0.21061961488033565</v>
      </c>
      <c r="E19" s="144"/>
      <c r="F19" s="144"/>
      <c r="G19" s="144"/>
      <c r="H19" s="318">
        <f>C19/2</f>
        <v>22798.04</v>
      </c>
      <c r="I19" s="318">
        <f>C19/2</f>
        <v>22798.04</v>
      </c>
      <c r="J19" s="2"/>
      <c r="K19" s="2"/>
    </row>
    <row r="20" spans="1:11" x14ac:dyDescent="0.25">
      <c r="A20" s="1" t="s">
        <v>313</v>
      </c>
      <c r="B20" s="3" t="str">
        <f>'PLANILHA ORÇAMENTÁRIA'!D125</f>
        <v xml:space="preserve">SERVIÇOS COMPLEMENTARES </v>
      </c>
      <c r="C20" s="18">
        <f>'PLANILHA ORÇAMENTÁRIA'!H125</f>
        <v>678.48</v>
      </c>
      <c r="D20" s="19">
        <f t="shared" si="0"/>
        <v>3.1340675844066007E-3</v>
      </c>
      <c r="E20" s="144"/>
      <c r="F20" s="144"/>
      <c r="G20" s="144"/>
      <c r="H20" s="144"/>
      <c r="I20" s="318">
        <f>C20</f>
        <v>678.48</v>
      </c>
      <c r="J20" s="2"/>
      <c r="K20" s="2"/>
    </row>
    <row r="21" spans="1:11" x14ac:dyDescent="0.25">
      <c r="A21" s="428" t="s">
        <v>30</v>
      </c>
      <c r="B21" s="428"/>
      <c r="C21" s="20">
        <f>SUM(C5:C20)</f>
        <v>216485.43999999997</v>
      </c>
      <c r="D21" s="19">
        <f>SUM(D5:D20)</f>
        <v>1</v>
      </c>
      <c r="E21" s="634"/>
      <c r="F21" s="634"/>
      <c r="G21" s="634"/>
      <c r="H21" s="634"/>
      <c r="I21" s="634"/>
    </row>
    <row r="22" spans="1:11" x14ac:dyDescent="0.25">
      <c r="A22" s="426" t="s">
        <v>31</v>
      </c>
      <c r="B22" s="426"/>
      <c r="C22" s="426"/>
      <c r="D22" s="426"/>
      <c r="E22" s="13">
        <f>SUM(E5:E20)</f>
        <v>42163.544999999991</v>
      </c>
      <c r="F22" s="13">
        <f>SUM(F5:F20)</f>
        <v>26744.815000000002</v>
      </c>
      <c r="G22" s="13">
        <f t="shared" ref="G22:I22" si="1">SUM(G5:G20)</f>
        <v>41015.215000000004</v>
      </c>
      <c r="H22" s="13">
        <f t="shared" si="1"/>
        <v>55918.19</v>
      </c>
      <c r="I22" s="13">
        <f t="shared" si="1"/>
        <v>50643.674999999996</v>
      </c>
    </row>
    <row r="23" spans="1:11" x14ac:dyDescent="0.25">
      <c r="A23" s="426" t="s">
        <v>32</v>
      </c>
      <c r="B23" s="426"/>
      <c r="C23" s="426"/>
      <c r="D23" s="426"/>
      <c r="E23" s="13">
        <f>E22</f>
        <v>42163.544999999991</v>
      </c>
      <c r="F23" s="13">
        <f>E23+F22</f>
        <v>68908.359999999986</v>
      </c>
      <c r="G23" s="13">
        <f t="shared" ref="G23:I23" si="2">F23+G22</f>
        <v>109923.57499999998</v>
      </c>
      <c r="H23" s="13">
        <f t="shared" si="2"/>
        <v>165841.76499999998</v>
      </c>
      <c r="I23" s="13">
        <f t="shared" si="2"/>
        <v>216485.43999999997</v>
      </c>
    </row>
    <row r="24" spans="1:11" x14ac:dyDescent="0.25">
      <c r="A24" s="426" t="s">
        <v>33</v>
      </c>
      <c r="B24" s="426"/>
      <c r="C24" s="426"/>
      <c r="D24" s="426"/>
      <c r="E24" s="14">
        <f>E22/C21</f>
        <v>0.19476388342791087</v>
      </c>
      <c r="F24" s="14">
        <f>F22/C21</f>
        <v>0.12354094113673421</v>
      </c>
      <c r="G24" s="14">
        <f>G22/C21</f>
        <v>0.18945946203125721</v>
      </c>
      <c r="H24" s="14">
        <f>H22/C21</f>
        <v>0.2583000039171226</v>
      </c>
      <c r="I24" s="14">
        <f>I22/C21</f>
        <v>0.2339357094869752</v>
      </c>
    </row>
    <row r="25" spans="1:11" x14ac:dyDescent="0.25">
      <c r="A25" s="426" t="s">
        <v>34</v>
      </c>
      <c r="B25" s="426"/>
      <c r="C25" s="426"/>
      <c r="D25" s="426"/>
      <c r="E25" s="15">
        <f>E24</f>
        <v>0.19476388342791087</v>
      </c>
      <c r="F25" s="14">
        <f>F23/C21</f>
        <v>0.31830482456464504</v>
      </c>
      <c r="G25" s="14">
        <f>G23/C21</f>
        <v>0.50776428659590223</v>
      </c>
      <c r="H25" s="14">
        <f>H23/C21</f>
        <v>0.76606429051302483</v>
      </c>
      <c r="I25" s="14">
        <f>I23/C21</f>
        <v>1</v>
      </c>
    </row>
  </sheetData>
  <mergeCells count="14">
    <mergeCell ref="A23:D23"/>
    <mergeCell ref="A24:D24"/>
    <mergeCell ref="E1:I2"/>
    <mergeCell ref="E3:I3"/>
    <mergeCell ref="A25:D25"/>
    <mergeCell ref="A1:D1"/>
    <mergeCell ref="A2:D2"/>
    <mergeCell ref="A3:A4"/>
    <mergeCell ref="B3:B4"/>
    <mergeCell ref="C3:C4"/>
    <mergeCell ref="D3:D4"/>
    <mergeCell ref="A21:B21"/>
    <mergeCell ref="A22:D22"/>
    <mergeCell ref="E21:I21"/>
  </mergeCells>
  <printOptions horizontalCentered="1"/>
  <pageMargins left="0.78740157480314965" right="0.78740157480314965" top="1.4566929133858268" bottom="0.78740157480314965" header="0.31496062992125984" footer="0.31496062992125984"/>
  <pageSetup paperSize="9" scale="79" fitToHeight="0" orientation="landscape" verticalDpi="4294967293" r:id="rId1"/>
  <headerFooter>
    <oddHeader>&amp;C&amp;G</oddHeader>
    <oddFooter>&amp;C&amp;"-,Itálico"Logradouro: Rua Elias Estevão Colnago, nº 65 – Centro - Itarana/ES. CEP 29620-000 
Tel.: (27) 3720-4900 – Site: www.itarana.es.gov.br – CNPJ: 27.104.363/0001-23</oddFooter>
  </headerFooter>
  <colBreaks count="1" manualBreakCount="1">
    <brk id="9" max="1048575" man="1"/>
  </colBreaks>
  <ignoredErrors>
    <ignoredError sqref="E24" formula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view="pageBreakPreview" topLeftCell="A301" zoomScaleNormal="100" zoomScaleSheetLayoutView="100" workbookViewId="0">
      <selection activeCell="A224" sqref="A224:J224"/>
    </sheetView>
  </sheetViews>
  <sheetFormatPr defaultRowHeight="15" x14ac:dyDescent="0.25"/>
  <cols>
    <col min="1" max="1" width="9.42578125" style="7" customWidth="1"/>
    <col min="2" max="2" width="9" style="8" customWidth="1"/>
    <col min="3" max="4" width="7.7109375" style="9" customWidth="1"/>
    <col min="5" max="5" width="27.5703125" style="9" customWidth="1"/>
    <col min="6" max="6" width="4.28515625" style="8" customWidth="1"/>
    <col min="7" max="7" width="5.42578125" style="10" customWidth="1"/>
    <col min="8" max="8" width="9.140625" style="11" customWidth="1"/>
    <col min="9" max="9" width="9.140625" style="6" customWidth="1"/>
    <col min="10" max="10" width="12.140625" style="6" customWidth="1"/>
    <col min="11" max="16384" width="9.140625" style="6"/>
  </cols>
  <sheetData>
    <row r="1" spans="1:10" ht="12.75" customHeight="1" x14ac:dyDescent="0.2">
      <c r="A1" s="641" t="s">
        <v>42</v>
      </c>
      <c r="B1" s="641"/>
      <c r="C1" s="641"/>
      <c r="D1" s="641"/>
      <c r="E1" s="641"/>
      <c r="F1" s="641"/>
      <c r="G1" s="641"/>
      <c r="H1" s="641"/>
      <c r="I1" s="498" t="s">
        <v>43</v>
      </c>
      <c r="J1" s="498"/>
    </row>
    <row r="2" spans="1:10" ht="9" customHeight="1" x14ac:dyDescent="0.2">
      <c r="A2" s="641"/>
      <c r="B2" s="641"/>
      <c r="C2" s="641"/>
      <c r="D2" s="641"/>
      <c r="E2" s="641"/>
      <c r="F2" s="641"/>
      <c r="G2" s="641"/>
      <c r="H2" s="641"/>
      <c r="I2" s="498"/>
      <c r="J2" s="498"/>
    </row>
    <row r="3" spans="1:10" ht="7.5" customHeight="1" x14ac:dyDescent="0.2">
      <c r="A3" s="641"/>
      <c r="B3" s="641"/>
      <c r="C3" s="641"/>
      <c r="D3" s="641"/>
      <c r="E3" s="641"/>
      <c r="F3" s="641"/>
      <c r="G3" s="641"/>
      <c r="H3" s="641"/>
      <c r="I3" s="499">
        <v>43344</v>
      </c>
      <c r="J3" s="499"/>
    </row>
    <row r="4" spans="1:10" ht="10.5" customHeight="1" x14ac:dyDescent="0.2">
      <c r="A4" s="641"/>
      <c r="B4" s="641"/>
      <c r="C4" s="641"/>
      <c r="D4" s="641"/>
      <c r="E4" s="641"/>
      <c r="F4" s="641"/>
      <c r="G4" s="641"/>
      <c r="H4" s="641"/>
      <c r="I4" s="499"/>
      <c r="J4" s="499"/>
    </row>
    <row r="5" spans="1:10" ht="15" customHeight="1" x14ac:dyDescent="0.2">
      <c r="A5" s="500" t="s">
        <v>93</v>
      </c>
      <c r="B5" s="501"/>
      <c r="C5" s="501"/>
      <c r="D5" s="501"/>
      <c r="E5" s="501"/>
      <c r="F5" s="12"/>
      <c r="G5" s="502" t="s">
        <v>94</v>
      </c>
      <c r="H5" s="502"/>
      <c r="I5" s="502"/>
      <c r="J5" s="503"/>
    </row>
    <row r="6" spans="1:10" ht="51" customHeight="1" x14ac:dyDescent="0.2">
      <c r="A6" s="74" t="s">
        <v>44</v>
      </c>
      <c r="B6" s="433" t="s">
        <v>91</v>
      </c>
      <c r="C6" s="433"/>
      <c r="D6" s="433"/>
      <c r="E6" s="433"/>
      <c r="F6" s="433"/>
      <c r="G6" s="433"/>
      <c r="H6" s="433"/>
      <c r="I6" s="433"/>
      <c r="J6" s="434"/>
    </row>
    <row r="7" spans="1:10" ht="15" customHeight="1" x14ac:dyDescent="0.2">
      <c r="A7" s="74" t="s">
        <v>49</v>
      </c>
      <c r="B7" s="468" t="s">
        <v>11</v>
      </c>
      <c r="C7" s="468"/>
      <c r="D7" s="468"/>
      <c r="E7" s="75"/>
      <c r="F7" s="469" t="s">
        <v>53</v>
      </c>
      <c r="G7" s="469"/>
      <c r="H7" s="469"/>
      <c r="I7" s="469"/>
      <c r="J7" s="470"/>
    </row>
    <row r="8" spans="1:10" ht="4.5" customHeight="1" x14ac:dyDescent="0.25">
      <c r="A8" s="438"/>
      <c r="B8" s="439"/>
      <c r="C8" s="439"/>
      <c r="D8" s="439"/>
      <c r="E8" s="439"/>
      <c r="F8" s="439"/>
      <c r="G8" s="439"/>
      <c r="H8" s="439"/>
      <c r="I8" s="439"/>
      <c r="J8" s="440"/>
    </row>
    <row r="9" spans="1:10" ht="15" customHeight="1" x14ac:dyDescent="0.25">
      <c r="A9" s="452" t="s">
        <v>59</v>
      </c>
      <c r="B9" s="452"/>
      <c r="C9" s="453"/>
      <c r="D9" s="453"/>
      <c r="E9" s="453"/>
      <c r="F9" s="453"/>
      <c r="G9" s="453"/>
      <c r="H9" s="453"/>
      <c r="I9" s="453"/>
      <c r="J9" s="453"/>
    </row>
    <row r="10" spans="1:10" ht="26.25" customHeight="1" x14ac:dyDescent="0.2">
      <c r="A10" s="76" t="s">
        <v>45</v>
      </c>
      <c r="B10" s="77" t="s">
        <v>46</v>
      </c>
      <c r="C10" s="454" t="s">
        <v>26</v>
      </c>
      <c r="D10" s="454"/>
      <c r="E10" s="454"/>
      <c r="F10" s="454" t="s">
        <v>4</v>
      </c>
      <c r="G10" s="454"/>
      <c r="H10" s="78" t="s">
        <v>22</v>
      </c>
      <c r="I10" s="327" t="s">
        <v>55</v>
      </c>
      <c r="J10" s="79" t="s">
        <v>63</v>
      </c>
    </row>
    <row r="11" spans="1:10" ht="15" customHeight="1" x14ac:dyDescent="0.2">
      <c r="A11" s="48">
        <v>10101</v>
      </c>
      <c r="B11" s="80" t="s">
        <v>64</v>
      </c>
      <c r="C11" s="455" t="s">
        <v>95</v>
      </c>
      <c r="D11" s="455"/>
      <c r="E11" s="455"/>
      <c r="F11" s="456" t="s">
        <v>67</v>
      </c>
      <c r="G11" s="456"/>
      <c r="H11" s="320">
        <v>0.17</v>
      </c>
      <c r="I11" s="320">
        <v>5.42</v>
      </c>
      <c r="J11" s="81">
        <f>I11*H11</f>
        <v>0.92140000000000011</v>
      </c>
    </row>
    <row r="12" spans="1:10" ht="15" customHeight="1" x14ac:dyDescent="0.2">
      <c r="A12" s="48">
        <v>10150</v>
      </c>
      <c r="B12" s="80" t="s">
        <v>64</v>
      </c>
      <c r="C12" s="455" t="s">
        <v>96</v>
      </c>
      <c r="D12" s="455"/>
      <c r="E12" s="455"/>
      <c r="F12" s="456" t="s">
        <v>67</v>
      </c>
      <c r="G12" s="456"/>
      <c r="H12" s="320">
        <v>0.17</v>
      </c>
      <c r="I12" s="320">
        <v>6.42</v>
      </c>
      <c r="J12" s="81">
        <f>I12*H12</f>
        <v>1.0914000000000001</v>
      </c>
    </row>
    <row r="13" spans="1:10" ht="15" customHeight="1" x14ac:dyDescent="0.2">
      <c r="A13" s="447" t="s">
        <v>48</v>
      </c>
      <c r="B13" s="448"/>
      <c r="C13" s="448"/>
      <c r="D13" s="448"/>
      <c r="E13" s="448"/>
      <c r="F13" s="448"/>
      <c r="G13" s="448"/>
      <c r="H13" s="448"/>
      <c r="I13" s="448"/>
      <c r="J13" s="82">
        <f>SUM(J11:J12)</f>
        <v>2.0128000000000004</v>
      </c>
    </row>
    <row r="14" spans="1:10" ht="15.75" customHeight="1" x14ac:dyDescent="0.25">
      <c r="A14" s="449"/>
      <c r="B14" s="450"/>
      <c r="C14" s="450"/>
      <c r="D14" s="450"/>
      <c r="E14" s="450"/>
      <c r="F14" s="450"/>
      <c r="G14" s="450"/>
      <c r="H14" s="450"/>
      <c r="I14" s="450"/>
      <c r="J14" s="451"/>
    </row>
    <row r="15" spans="1:10" ht="15.75" x14ac:dyDescent="0.25">
      <c r="A15" s="452" t="s">
        <v>65</v>
      </c>
      <c r="B15" s="452"/>
      <c r="C15" s="453"/>
      <c r="D15" s="453"/>
      <c r="E15" s="453"/>
      <c r="F15" s="453"/>
      <c r="G15" s="453"/>
      <c r="H15" s="453"/>
      <c r="I15" s="453"/>
      <c r="J15" s="453"/>
    </row>
    <row r="16" spans="1:10" ht="25.5" customHeight="1" x14ac:dyDescent="0.2">
      <c r="A16" s="76" t="s">
        <v>45</v>
      </c>
      <c r="B16" s="77" t="s">
        <v>46</v>
      </c>
      <c r="C16" s="454" t="s">
        <v>26</v>
      </c>
      <c r="D16" s="454"/>
      <c r="E16" s="454"/>
      <c r="F16" s="454" t="s">
        <v>4</v>
      </c>
      <c r="G16" s="454"/>
      <c r="H16" s="78" t="s">
        <v>22</v>
      </c>
      <c r="I16" s="327" t="s">
        <v>55</v>
      </c>
      <c r="J16" s="79" t="s">
        <v>63</v>
      </c>
    </row>
    <row r="17" spans="1:10" ht="30" customHeight="1" x14ac:dyDescent="0.2">
      <c r="A17" s="48">
        <v>26610</v>
      </c>
      <c r="B17" s="80" t="s">
        <v>64</v>
      </c>
      <c r="C17" s="493" t="s">
        <v>97</v>
      </c>
      <c r="D17" s="493"/>
      <c r="E17" s="493"/>
      <c r="F17" s="456" t="s">
        <v>56</v>
      </c>
      <c r="G17" s="456"/>
      <c r="H17" s="83">
        <v>1</v>
      </c>
      <c r="I17" s="84">
        <v>0.33</v>
      </c>
      <c r="J17" s="85">
        <f>I17*H17</f>
        <v>0.33</v>
      </c>
    </row>
    <row r="18" spans="1:10" ht="15.75" x14ac:dyDescent="0.2">
      <c r="A18" s="48">
        <v>26040</v>
      </c>
      <c r="B18" s="80" t="s">
        <v>64</v>
      </c>
      <c r="C18" s="490" t="s">
        <v>98</v>
      </c>
      <c r="D18" s="491"/>
      <c r="E18" s="492"/>
      <c r="F18" s="444" t="s">
        <v>52</v>
      </c>
      <c r="G18" s="445"/>
      <c r="H18" s="83">
        <v>0.15</v>
      </c>
      <c r="I18" s="84">
        <v>1.4</v>
      </c>
      <c r="J18" s="85">
        <f>I18*H18</f>
        <v>0.21</v>
      </c>
    </row>
    <row r="19" spans="1:10" ht="15.75" x14ac:dyDescent="0.25">
      <c r="A19" s="446" t="s">
        <v>50</v>
      </c>
      <c r="B19" s="497"/>
      <c r="C19" s="497"/>
      <c r="D19" s="497"/>
      <c r="E19" s="497"/>
      <c r="F19" s="497"/>
      <c r="G19" s="497"/>
      <c r="H19" s="497"/>
      <c r="I19" s="497"/>
      <c r="J19" s="86">
        <f>SUM(J17:J18)</f>
        <v>0.54</v>
      </c>
    </row>
    <row r="20" spans="1:10" ht="15.75" x14ac:dyDescent="0.25">
      <c r="A20" s="87"/>
      <c r="B20" s="88"/>
      <c r="C20" s="89"/>
      <c r="D20" s="89"/>
      <c r="E20" s="89"/>
      <c r="F20" s="88"/>
      <c r="G20" s="90"/>
      <c r="H20" s="91"/>
      <c r="I20" s="92"/>
      <c r="J20" s="93"/>
    </row>
    <row r="21" spans="1:10" ht="15.75" x14ac:dyDescent="0.25">
      <c r="A21" s="435" t="s">
        <v>60</v>
      </c>
      <c r="B21" s="435"/>
      <c r="C21" s="435"/>
      <c r="D21" s="435"/>
      <c r="E21" s="435"/>
      <c r="F21" s="435"/>
      <c r="G21" s="435"/>
      <c r="H21" s="435"/>
      <c r="I21" s="436">
        <f>SUM(J13+J19)</f>
        <v>2.5528000000000004</v>
      </c>
      <c r="J21" s="437"/>
    </row>
    <row r="22" spans="1:10" ht="15.75" x14ac:dyDescent="0.25">
      <c r="A22" s="435" t="s">
        <v>61</v>
      </c>
      <c r="B22" s="435"/>
      <c r="C22" s="435"/>
      <c r="D22" s="435"/>
      <c r="E22" s="435"/>
      <c r="F22" s="435"/>
      <c r="G22" s="435"/>
      <c r="H22" s="435"/>
      <c r="I22" s="436">
        <v>1</v>
      </c>
      <c r="J22" s="437"/>
    </row>
    <row r="23" spans="1:10" ht="15.75" x14ac:dyDescent="0.25">
      <c r="A23" s="435" t="s">
        <v>62</v>
      </c>
      <c r="B23" s="435"/>
      <c r="C23" s="435"/>
      <c r="D23" s="435"/>
      <c r="E23" s="435"/>
      <c r="F23" s="435"/>
      <c r="G23" s="435"/>
      <c r="H23" s="435"/>
      <c r="I23" s="436">
        <f>I21/I22</f>
        <v>2.5528000000000004</v>
      </c>
      <c r="J23" s="437"/>
    </row>
    <row r="24" spans="1:10" ht="15.75" x14ac:dyDescent="0.25">
      <c r="A24" s="438"/>
      <c r="B24" s="439"/>
      <c r="C24" s="439"/>
      <c r="D24" s="439"/>
      <c r="E24" s="439"/>
      <c r="F24" s="439"/>
      <c r="G24" s="439"/>
      <c r="H24" s="439"/>
      <c r="I24" s="439"/>
      <c r="J24" s="440"/>
    </row>
    <row r="25" spans="1:10" ht="15.75" x14ac:dyDescent="0.25">
      <c r="A25" s="435" t="s">
        <v>66</v>
      </c>
      <c r="B25" s="435"/>
      <c r="C25" s="435"/>
      <c r="D25" s="435"/>
      <c r="E25" s="435"/>
      <c r="F25" s="435"/>
      <c r="G25" s="435"/>
      <c r="H25" s="435"/>
      <c r="I25" s="436">
        <f>I23</f>
        <v>2.5528000000000004</v>
      </c>
      <c r="J25" s="437"/>
    </row>
    <row r="26" spans="1:10" ht="15.75" x14ac:dyDescent="0.25">
      <c r="A26" s="435" t="s">
        <v>99</v>
      </c>
      <c r="B26" s="435"/>
      <c r="C26" s="435"/>
      <c r="D26" s="435"/>
      <c r="E26" s="435"/>
      <c r="F26" s="435"/>
      <c r="G26" s="435"/>
      <c r="H26" s="435"/>
      <c r="I26" s="436">
        <f>I25*0.2654</f>
        <v>0.67751312000000019</v>
      </c>
      <c r="J26" s="437"/>
    </row>
    <row r="27" spans="1:10" ht="15.75" x14ac:dyDescent="0.25">
      <c r="A27" s="435" t="s">
        <v>51</v>
      </c>
      <c r="B27" s="435"/>
      <c r="C27" s="435"/>
      <c r="D27" s="435"/>
      <c r="E27" s="435"/>
      <c r="F27" s="435"/>
      <c r="G27" s="435"/>
      <c r="H27" s="435"/>
      <c r="I27" s="436">
        <f>SUM(I25:J26)</f>
        <v>3.2303131200000008</v>
      </c>
      <c r="J27" s="437"/>
    </row>
    <row r="28" spans="1:10" ht="15.75" x14ac:dyDescent="0.2">
      <c r="A28" s="494"/>
      <c r="B28" s="495"/>
      <c r="C28" s="495"/>
      <c r="D28" s="495"/>
      <c r="E28" s="495"/>
      <c r="F28" s="495"/>
      <c r="G28" s="495"/>
      <c r="H28" s="495"/>
      <c r="I28" s="495"/>
      <c r="J28" s="496"/>
    </row>
    <row r="29" spans="1:10" ht="15.75" x14ac:dyDescent="0.2">
      <c r="A29" s="74" t="s">
        <v>44</v>
      </c>
      <c r="B29" s="433" t="s">
        <v>105</v>
      </c>
      <c r="C29" s="433"/>
      <c r="D29" s="433"/>
      <c r="E29" s="433"/>
      <c r="F29" s="433"/>
      <c r="G29" s="433"/>
      <c r="H29" s="433"/>
      <c r="I29" s="433"/>
      <c r="J29" s="434"/>
    </row>
    <row r="30" spans="1:10" ht="15.75" x14ac:dyDescent="0.2">
      <c r="A30" s="74" t="s">
        <v>49</v>
      </c>
      <c r="B30" s="468" t="s">
        <v>104</v>
      </c>
      <c r="C30" s="468"/>
      <c r="D30" s="468"/>
      <c r="E30" s="75"/>
      <c r="F30" s="469" t="s">
        <v>54</v>
      </c>
      <c r="G30" s="469"/>
      <c r="H30" s="469"/>
      <c r="I30" s="469"/>
      <c r="J30" s="470"/>
    </row>
    <row r="31" spans="1:10" ht="4.5" customHeight="1" x14ac:dyDescent="0.25">
      <c r="A31" s="642"/>
      <c r="B31" s="477"/>
      <c r="C31" s="477"/>
      <c r="D31" s="477"/>
      <c r="E31" s="477"/>
      <c r="F31" s="477"/>
      <c r="G31" s="477"/>
      <c r="H31" s="477"/>
      <c r="I31" s="477"/>
      <c r="J31" s="643"/>
    </row>
    <row r="32" spans="1:10" ht="15.75" x14ac:dyDescent="0.25">
      <c r="A32" s="452" t="s">
        <v>59</v>
      </c>
      <c r="B32" s="452"/>
      <c r="C32" s="453"/>
      <c r="D32" s="453"/>
      <c r="E32" s="453"/>
      <c r="F32" s="453"/>
      <c r="G32" s="453"/>
      <c r="H32" s="453"/>
      <c r="I32" s="453"/>
      <c r="J32" s="453"/>
    </row>
    <row r="33" spans="1:10" ht="15.75" x14ac:dyDescent="0.2">
      <c r="A33" s="76" t="s">
        <v>45</v>
      </c>
      <c r="B33" s="77" t="s">
        <v>46</v>
      </c>
      <c r="C33" s="454" t="s">
        <v>26</v>
      </c>
      <c r="D33" s="454"/>
      <c r="E33" s="454"/>
      <c r="F33" s="454" t="s">
        <v>4</v>
      </c>
      <c r="G33" s="454"/>
      <c r="H33" s="78" t="s">
        <v>22</v>
      </c>
      <c r="I33" s="327" t="s">
        <v>55</v>
      </c>
      <c r="J33" s="79" t="s">
        <v>63</v>
      </c>
    </row>
    <row r="34" spans="1:10" ht="15.75" x14ac:dyDescent="0.2">
      <c r="A34" s="48">
        <v>10101</v>
      </c>
      <c r="B34" s="80" t="s">
        <v>64</v>
      </c>
      <c r="C34" s="455" t="s">
        <v>95</v>
      </c>
      <c r="D34" s="455"/>
      <c r="E34" s="455"/>
      <c r="F34" s="456" t="s">
        <v>67</v>
      </c>
      <c r="G34" s="456"/>
      <c r="H34" s="320">
        <v>2.6219999999999999</v>
      </c>
      <c r="I34" s="320">
        <v>5.42</v>
      </c>
      <c r="J34" s="81">
        <f>I34*H34</f>
        <v>14.211239999999998</v>
      </c>
    </row>
    <row r="35" spans="1:10" ht="15.75" x14ac:dyDescent="0.2">
      <c r="A35" s="48">
        <v>10118</v>
      </c>
      <c r="B35" s="80" t="s">
        <v>64</v>
      </c>
      <c r="C35" s="455" t="s">
        <v>106</v>
      </c>
      <c r="D35" s="455"/>
      <c r="E35" s="455"/>
      <c r="F35" s="456" t="s">
        <v>67</v>
      </c>
      <c r="G35" s="456"/>
      <c r="H35" s="320">
        <v>2.82</v>
      </c>
      <c r="I35" s="320">
        <v>6.42</v>
      </c>
      <c r="J35" s="81">
        <f>I35*H35</f>
        <v>18.104399999999998</v>
      </c>
    </row>
    <row r="36" spans="1:10" ht="15.75" x14ac:dyDescent="0.2">
      <c r="A36" s="447" t="s">
        <v>48</v>
      </c>
      <c r="B36" s="448"/>
      <c r="C36" s="448"/>
      <c r="D36" s="448"/>
      <c r="E36" s="448"/>
      <c r="F36" s="448"/>
      <c r="G36" s="448"/>
      <c r="H36" s="448"/>
      <c r="I36" s="448"/>
      <c r="J36" s="82">
        <f>SUM(J34:J35)</f>
        <v>32.315639999999995</v>
      </c>
    </row>
    <row r="37" spans="1:10" ht="15.75" x14ac:dyDescent="0.25">
      <c r="A37" s="449"/>
      <c r="B37" s="450"/>
      <c r="C37" s="450"/>
      <c r="D37" s="450"/>
      <c r="E37" s="450"/>
      <c r="F37" s="450"/>
      <c r="G37" s="450"/>
      <c r="H37" s="450"/>
      <c r="I37" s="450"/>
      <c r="J37" s="451"/>
    </row>
    <row r="38" spans="1:10" ht="15.75" x14ac:dyDescent="0.25">
      <c r="A38" s="452" t="s">
        <v>65</v>
      </c>
      <c r="B38" s="452"/>
      <c r="C38" s="453"/>
      <c r="D38" s="453"/>
      <c r="E38" s="453"/>
      <c r="F38" s="453"/>
      <c r="G38" s="453"/>
      <c r="H38" s="453"/>
      <c r="I38" s="453"/>
      <c r="J38" s="453"/>
    </row>
    <row r="39" spans="1:10" ht="15.75" x14ac:dyDescent="0.2">
      <c r="A39" s="76" t="s">
        <v>45</v>
      </c>
      <c r="B39" s="77" t="s">
        <v>46</v>
      </c>
      <c r="C39" s="454" t="s">
        <v>26</v>
      </c>
      <c r="D39" s="454"/>
      <c r="E39" s="454"/>
      <c r="F39" s="454" t="s">
        <v>4</v>
      </c>
      <c r="G39" s="454"/>
      <c r="H39" s="78" t="s">
        <v>22</v>
      </c>
      <c r="I39" s="327" t="s">
        <v>55</v>
      </c>
      <c r="J39" s="79" t="s">
        <v>63</v>
      </c>
    </row>
    <row r="40" spans="1:10" ht="15.75" x14ac:dyDescent="0.2">
      <c r="A40" s="48">
        <v>69513</v>
      </c>
      <c r="B40" s="94" t="s">
        <v>64</v>
      </c>
      <c r="C40" s="493" t="s">
        <v>107</v>
      </c>
      <c r="D40" s="493"/>
      <c r="E40" s="493"/>
      <c r="F40" s="456" t="s">
        <v>110</v>
      </c>
      <c r="G40" s="456"/>
      <c r="H40" s="95">
        <v>2.01E-2</v>
      </c>
      <c r="I40" s="84">
        <v>41.9</v>
      </c>
      <c r="J40" s="85">
        <f t="shared" ref="J40:J48" si="0">I40*H40</f>
        <v>0.84218999999999999</v>
      </c>
    </row>
    <row r="41" spans="1:10" ht="15.75" x14ac:dyDescent="0.2">
      <c r="A41" s="48">
        <v>69514</v>
      </c>
      <c r="B41" s="94" t="s">
        <v>64</v>
      </c>
      <c r="C41" s="493" t="s">
        <v>108</v>
      </c>
      <c r="D41" s="493"/>
      <c r="E41" s="493"/>
      <c r="F41" s="456" t="s">
        <v>109</v>
      </c>
      <c r="G41" s="456"/>
      <c r="H41" s="95">
        <v>1.7399999999999999E-2</v>
      </c>
      <c r="I41" s="84">
        <v>27.01</v>
      </c>
      <c r="J41" s="85">
        <f t="shared" si="0"/>
        <v>0.469974</v>
      </c>
    </row>
    <row r="42" spans="1:10" ht="15.75" x14ac:dyDescent="0.2">
      <c r="A42" s="48">
        <v>62111</v>
      </c>
      <c r="B42" s="94" t="s">
        <v>64</v>
      </c>
      <c r="C42" s="493" t="s">
        <v>113</v>
      </c>
      <c r="D42" s="493"/>
      <c r="E42" s="493"/>
      <c r="F42" s="456" t="s">
        <v>56</v>
      </c>
      <c r="G42" s="456"/>
      <c r="H42" s="95">
        <v>2</v>
      </c>
      <c r="I42" s="84">
        <v>0.68</v>
      </c>
      <c r="J42" s="85">
        <f t="shared" si="0"/>
        <v>1.36</v>
      </c>
    </row>
    <row r="43" spans="1:10" ht="15.75" x14ac:dyDescent="0.2">
      <c r="A43" s="48">
        <v>69512</v>
      </c>
      <c r="B43" s="94" t="s">
        <v>64</v>
      </c>
      <c r="C43" s="493" t="s">
        <v>112</v>
      </c>
      <c r="D43" s="493"/>
      <c r="E43" s="493"/>
      <c r="F43" s="456" t="s">
        <v>52</v>
      </c>
      <c r="G43" s="456"/>
      <c r="H43" s="95">
        <v>2.0299999999999998</v>
      </c>
      <c r="I43" s="84">
        <v>0.17</v>
      </c>
      <c r="J43" s="85">
        <f t="shared" si="0"/>
        <v>0.34510000000000002</v>
      </c>
    </row>
    <row r="44" spans="1:10" ht="15.75" x14ac:dyDescent="0.2">
      <c r="A44" s="48">
        <v>62511</v>
      </c>
      <c r="B44" s="94" t="s">
        <v>64</v>
      </c>
      <c r="C44" s="493" t="s">
        <v>114</v>
      </c>
      <c r="D44" s="493"/>
      <c r="E44" s="493"/>
      <c r="F44" s="456" t="s">
        <v>56</v>
      </c>
      <c r="G44" s="456"/>
      <c r="H44" s="95">
        <v>1</v>
      </c>
      <c r="I44" s="84">
        <v>0.57999999999999996</v>
      </c>
      <c r="J44" s="85">
        <f t="shared" si="0"/>
        <v>0.57999999999999996</v>
      </c>
    </row>
    <row r="45" spans="1:10" ht="15.75" x14ac:dyDescent="0.2">
      <c r="A45" s="48">
        <v>62321</v>
      </c>
      <c r="B45" s="94" t="s">
        <v>64</v>
      </c>
      <c r="C45" s="493" t="s">
        <v>115</v>
      </c>
      <c r="D45" s="493"/>
      <c r="E45" s="493"/>
      <c r="F45" s="456" t="s">
        <v>56</v>
      </c>
      <c r="G45" s="456"/>
      <c r="H45" s="95">
        <v>1</v>
      </c>
      <c r="I45" s="84">
        <v>1.86</v>
      </c>
      <c r="J45" s="85">
        <f t="shared" si="0"/>
        <v>1.86</v>
      </c>
    </row>
    <row r="46" spans="1:10" ht="15.75" x14ac:dyDescent="0.2">
      <c r="A46" s="48">
        <v>62324</v>
      </c>
      <c r="B46" s="94" t="s">
        <v>64</v>
      </c>
      <c r="C46" s="493" t="s">
        <v>116</v>
      </c>
      <c r="D46" s="493"/>
      <c r="E46" s="493"/>
      <c r="F46" s="456" t="s">
        <v>56</v>
      </c>
      <c r="G46" s="456"/>
      <c r="H46" s="95">
        <v>1</v>
      </c>
      <c r="I46" s="84">
        <v>1.44</v>
      </c>
      <c r="J46" s="85">
        <f t="shared" si="0"/>
        <v>1.44</v>
      </c>
    </row>
    <row r="47" spans="1:10" ht="15" customHeight="1" x14ac:dyDescent="0.2">
      <c r="A47" s="48">
        <v>63516</v>
      </c>
      <c r="B47" s="94" t="s">
        <v>64</v>
      </c>
      <c r="C47" s="490" t="s">
        <v>117</v>
      </c>
      <c r="D47" s="491"/>
      <c r="E47" s="492"/>
      <c r="F47" s="444" t="s">
        <v>56</v>
      </c>
      <c r="G47" s="445"/>
      <c r="H47" s="95">
        <v>1</v>
      </c>
      <c r="I47" s="84">
        <v>60.21</v>
      </c>
      <c r="J47" s="85">
        <f t="shared" si="0"/>
        <v>60.21</v>
      </c>
    </row>
    <row r="48" spans="1:10" ht="15.75" x14ac:dyDescent="0.2">
      <c r="A48" s="48">
        <v>62502</v>
      </c>
      <c r="B48" s="94" t="s">
        <v>64</v>
      </c>
      <c r="C48" s="493" t="s">
        <v>111</v>
      </c>
      <c r="D48" s="493"/>
      <c r="E48" s="493"/>
      <c r="F48" s="456" t="s">
        <v>52</v>
      </c>
      <c r="G48" s="456"/>
      <c r="H48" s="95">
        <v>3.6360000000000001</v>
      </c>
      <c r="I48" s="84">
        <v>2.61</v>
      </c>
      <c r="J48" s="85">
        <f t="shared" si="0"/>
        <v>9.48996</v>
      </c>
    </row>
    <row r="49" spans="1:10" ht="15.75" x14ac:dyDescent="0.25">
      <c r="A49" s="446" t="s">
        <v>50</v>
      </c>
      <c r="B49" s="446"/>
      <c r="C49" s="446"/>
      <c r="D49" s="446"/>
      <c r="E49" s="446"/>
      <c r="F49" s="446"/>
      <c r="G49" s="446"/>
      <c r="H49" s="446"/>
      <c r="I49" s="446"/>
      <c r="J49" s="86">
        <f>SUM(J40:J48)</f>
        <v>76.597223999999997</v>
      </c>
    </row>
    <row r="50" spans="1:10" ht="15.75" x14ac:dyDescent="0.25">
      <c r="A50" s="87"/>
      <c r="B50" s="88"/>
      <c r="C50" s="89"/>
      <c r="D50" s="89"/>
      <c r="E50" s="89"/>
      <c r="F50" s="88"/>
      <c r="G50" s="90"/>
      <c r="H50" s="91"/>
      <c r="I50" s="92"/>
      <c r="J50" s="93"/>
    </row>
    <row r="51" spans="1:10" ht="15.75" x14ac:dyDescent="0.25">
      <c r="A51" s="435" t="s">
        <v>60</v>
      </c>
      <c r="B51" s="435"/>
      <c r="C51" s="435"/>
      <c r="D51" s="435"/>
      <c r="E51" s="435"/>
      <c r="F51" s="435"/>
      <c r="G51" s="435"/>
      <c r="H51" s="435"/>
      <c r="I51" s="436">
        <f>SUM(J36+J49)</f>
        <v>108.91286399999998</v>
      </c>
      <c r="J51" s="437"/>
    </row>
    <row r="52" spans="1:10" ht="15.75" x14ac:dyDescent="0.25">
      <c r="A52" s="435" t="s">
        <v>61</v>
      </c>
      <c r="B52" s="435"/>
      <c r="C52" s="435"/>
      <c r="D52" s="435"/>
      <c r="E52" s="435"/>
      <c r="F52" s="435"/>
      <c r="G52" s="435"/>
      <c r="H52" s="435"/>
      <c r="I52" s="436">
        <v>1</v>
      </c>
      <c r="J52" s="437"/>
    </row>
    <row r="53" spans="1:10" ht="15.75" x14ac:dyDescent="0.25">
      <c r="A53" s="435" t="s">
        <v>62</v>
      </c>
      <c r="B53" s="435"/>
      <c r="C53" s="435"/>
      <c r="D53" s="435"/>
      <c r="E53" s="435"/>
      <c r="F53" s="435"/>
      <c r="G53" s="435"/>
      <c r="H53" s="435"/>
      <c r="I53" s="436">
        <f>I51/I52</f>
        <v>108.91286399999998</v>
      </c>
      <c r="J53" s="437"/>
    </row>
    <row r="54" spans="1:10" ht="15.75" x14ac:dyDescent="0.25">
      <c r="A54" s="438"/>
      <c r="B54" s="439"/>
      <c r="C54" s="439"/>
      <c r="D54" s="439"/>
      <c r="E54" s="439"/>
      <c r="F54" s="439"/>
      <c r="G54" s="439"/>
      <c r="H54" s="439"/>
      <c r="I54" s="439"/>
      <c r="J54" s="440"/>
    </row>
    <row r="55" spans="1:10" ht="15.75" x14ac:dyDescent="0.25">
      <c r="A55" s="435" t="s">
        <v>66</v>
      </c>
      <c r="B55" s="435"/>
      <c r="C55" s="435"/>
      <c r="D55" s="435"/>
      <c r="E55" s="435"/>
      <c r="F55" s="435"/>
      <c r="G55" s="435"/>
      <c r="H55" s="435"/>
      <c r="I55" s="436">
        <f>I53</f>
        <v>108.91286399999998</v>
      </c>
      <c r="J55" s="437"/>
    </row>
    <row r="56" spans="1:10" ht="15.75" x14ac:dyDescent="0.25">
      <c r="A56" s="435" t="s">
        <v>99</v>
      </c>
      <c r="B56" s="435"/>
      <c r="C56" s="435"/>
      <c r="D56" s="435"/>
      <c r="E56" s="435"/>
      <c r="F56" s="435"/>
      <c r="G56" s="435"/>
      <c r="H56" s="435"/>
      <c r="I56" s="436">
        <f>I55*0.2654</f>
        <v>28.9054741056</v>
      </c>
      <c r="J56" s="437"/>
    </row>
    <row r="57" spans="1:10" ht="15.75" x14ac:dyDescent="0.25">
      <c r="A57" s="435" t="s">
        <v>51</v>
      </c>
      <c r="B57" s="435"/>
      <c r="C57" s="435"/>
      <c r="D57" s="435"/>
      <c r="E57" s="435"/>
      <c r="F57" s="435"/>
      <c r="G57" s="435"/>
      <c r="H57" s="435"/>
      <c r="I57" s="436">
        <f>SUM(I55:J56)</f>
        <v>137.81833810559999</v>
      </c>
      <c r="J57" s="437"/>
    </row>
    <row r="58" spans="1:10" ht="15.75" x14ac:dyDescent="0.25">
      <c r="A58" s="477"/>
      <c r="B58" s="477"/>
      <c r="C58" s="477"/>
      <c r="D58" s="477"/>
      <c r="E58" s="477"/>
      <c r="F58" s="477"/>
      <c r="G58" s="477"/>
      <c r="H58" s="477"/>
      <c r="I58" s="477"/>
      <c r="J58" s="477"/>
    </row>
    <row r="59" spans="1:10" ht="15.75" customHeight="1" x14ac:dyDescent="0.2">
      <c r="A59" s="74" t="s">
        <v>44</v>
      </c>
      <c r="B59" s="433" t="s">
        <v>129</v>
      </c>
      <c r="C59" s="433"/>
      <c r="D59" s="433"/>
      <c r="E59" s="433"/>
      <c r="F59" s="433"/>
      <c r="G59" s="433"/>
      <c r="H59" s="433"/>
      <c r="I59" s="433"/>
      <c r="J59" s="434"/>
    </row>
    <row r="60" spans="1:10" ht="15.75" x14ac:dyDescent="0.2">
      <c r="A60" s="74" t="s">
        <v>49</v>
      </c>
      <c r="B60" s="468" t="s">
        <v>56</v>
      </c>
      <c r="C60" s="468"/>
      <c r="D60" s="468"/>
      <c r="E60" s="75"/>
      <c r="F60" s="469" t="s">
        <v>130</v>
      </c>
      <c r="G60" s="469"/>
      <c r="H60" s="469"/>
      <c r="I60" s="469"/>
      <c r="J60" s="470"/>
    </row>
    <row r="61" spans="1:10" ht="4.5" customHeight="1" x14ac:dyDescent="0.25">
      <c r="A61" s="324"/>
      <c r="B61" s="325"/>
      <c r="C61" s="325"/>
      <c r="D61" s="325"/>
      <c r="E61" s="325"/>
      <c r="F61" s="325"/>
      <c r="G61" s="325"/>
      <c r="H61" s="325"/>
      <c r="I61" s="353"/>
      <c r="J61" s="326"/>
    </row>
    <row r="62" spans="1:10" ht="15.75" x14ac:dyDescent="0.25">
      <c r="A62" s="471" t="s">
        <v>59</v>
      </c>
      <c r="B62" s="472"/>
      <c r="C62" s="472"/>
      <c r="D62" s="472"/>
      <c r="E62" s="472"/>
      <c r="F62" s="472"/>
      <c r="G62" s="472"/>
      <c r="H62" s="472"/>
      <c r="I62" s="472"/>
      <c r="J62" s="473"/>
    </row>
    <row r="63" spans="1:10" ht="15.75" customHeight="1" x14ac:dyDescent="0.2">
      <c r="A63" s="76" t="s">
        <v>45</v>
      </c>
      <c r="B63" s="77" t="s">
        <v>46</v>
      </c>
      <c r="C63" s="457" t="s">
        <v>26</v>
      </c>
      <c r="D63" s="458"/>
      <c r="E63" s="459"/>
      <c r="F63" s="457" t="s">
        <v>4</v>
      </c>
      <c r="G63" s="459"/>
      <c r="H63" s="78" t="s">
        <v>22</v>
      </c>
      <c r="I63" s="327" t="s">
        <v>55</v>
      </c>
      <c r="J63" s="79" t="s">
        <v>63</v>
      </c>
    </row>
    <row r="64" spans="1:10" ht="15.75" customHeight="1" x14ac:dyDescent="0.2">
      <c r="A64" s="48">
        <v>10101</v>
      </c>
      <c r="B64" s="80" t="s">
        <v>64</v>
      </c>
      <c r="C64" s="441" t="s">
        <v>95</v>
      </c>
      <c r="D64" s="442"/>
      <c r="E64" s="443"/>
      <c r="F64" s="444" t="s">
        <v>67</v>
      </c>
      <c r="G64" s="445"/>
      <c r="H64" s="320">
        <v>0.5</v>
      </c>
      <c r="I64" s="320">
        <v>5.42</v>
      </c>
      <c r="J64" s="81">
        <f>I64*H64</f>
        <v>2.71</v>
      </c>
    </row>
    <row r="65" spans="1:10" ht="15.75" customHeight="1" x14ac:dyDescent="0.2">
      <c r="A65" s="478" t="s">
        <v>48</v>
      </c>
      <c r="B65" s="479"/>
      <c r="C65" s="479"/>
      <c r="D65" s="479"/>
      <c r="E65" s="479"/>
      <c r="F65" s="479"/>
      <c r="G65" s="479"/>
      <c r="H65" s="479"/>
      <c r="I65" s="480"/>
      <c r="J65" s="82">
        <f>SUM(J64:J64)</f>
        <v>2.71</v>
      </c>
    </row>
    <row r="66" spans="1:10" ht="15.75" x14ac:dyDescent="0.25">
      <c r="A66" s="321"/>
      <c r="B66" s="322"/>
      <c r="C66" s="322"/>
      <c r="D66" s="322"/>
      <c r="E66" s="322"/>
      <c r="F66" s="322"/>
      <c r="G66" s="322"/>
      <c r="H66" s="322"/>
      <c r="I66" s="322"/>
      <c r="J66" s="323"/>
    </row>
    <row r="67" spans="1:10" ht="15.75" x14ac:dyDescent="0.25">
      <c r="A67" s="471" t="s">
        <v>65</v>
      </c>
      <c r="B67" s="472"/>
      <c r="C67" s="472"/>
      <c r="D67" s="472"/>
      <c r="E67" s="472"/>
      <c r="F67" s="472"/>
      <c r="G67" s="472"/>
      <c r="H67" s="472"/>
      <c r="I67" s="472"/>
      <c r="J67" s="473"/>
    </row>
    <row r="68" spans="1:10" ht="15.75" customHeight="1" x14ac:dyDescent="0.2">
      <c r="A68" s="76" t="s">
        <v>45</v>
      </c>
      <c r="B68" s="77" t="s">
        <v>46</v>
      </c>
      <c r="C68" s="457" t="s">
        <v>26</v>
      </c>
      <c r="D68" s="458"/>
      <c r="E68" s="459"/>
      <c r="F68" s="457" t="s">
        <v>4</v>
      </c>
      <c r="G68" s="459"/>
      <c r="H68" s="78" t="s">
        <v>22</v>
      </c>
      <c r="I68" s="327" t="s">
        <v>55</v>
      </c>
      <c r="J68" s="79" t="s">
        <v>63</v>
      </c>
    </row>
    <row r="69" spans="1:10" ht="15.75" customHeight="1" x14ac:dyDescent="0.2">
      <c r="A69" s="48">
        <v>37401</v>
      </c>
      <c r="B69" s="94" t="s">
        <v>75</v>
      </c>
      <c r="C69" s="490" t="s">
        <v>129</v>
      </c>
      <c r="D69" s="491"/>
      <c r="E69" s="492"/>
      <c r="F69" s="444" t="s">
        <v>56</v>
      </c>
      <c r="G69" s="445"/>
      <c r="H69" s="95">
        <v>1</v>
      </c>
      <c r="I69" s="84">
        <v>40.64</v>
      </c>
      <c r="J69" s="85">
        <f>I69*H69</f>
        <v>40.64</v>
      </c>
    </row>
    <row r="70" spans="1:10" ht="15.75" x14ac:dyDescent="0.25">
      <c r="A70" s="474" t="s">
        <v>50</v>
      </c>
      <c r="B70" s="475"/>
      <c r="C70" s="475"/>
      <c r="D70" s="475"/>
      <c r="E70" s="475"/>
      <c r="F70" s="475"/>
      <c r="G70" s="475"/>
      <c r="H70" s="475"/>
      <c r="I70" s="476"/>
      <c r="J70" s="86">
        <f>SUM(J69:J69)</f>
        <v>40.64</v>
      </c>
    </row>
    <row r="71" spans="1:10" ht="15.75" x14ac:dyDescent="0.25">
      <c r="A71" s="87"/>
      <c r="B71" s="88"/>
      <c r="C71" s="89"/>
      <c r="D71" s="89"/>
      <c r="E71" s="89"/>
      <c r="F71" s="88"/>
      <c r="G71" s="90"/>
      <c r="H71" s="91"/>
      <c r="I71" s="92"/>
      <c r="J71" s="93"/>
    </row>
    <row r="72" spans="1:10" ht="15.75" x14ac:dyDescent="0.25">
      <c r="A72" s="465" t="s">
        <v>60</v>
      </c>
      <c r="B72" s="466"/>
      <c r="C72" s="466"/>
      <c r="D72" s="466"/>
      <c r="E72" s="466"/>
      <c r="F72" s="466"/>
      <c r="G72" s="466"/>
      <c r="H72" s="467"/>
      <c r="I72" s="436">
        <f>SUM(J65+J70)</f>
        <v>43.35</v>
      </c>
      <c r="J72" s="437"/>
    </row>
    <row r="73" spans="1:10" ht="15.75" x14ac:dyDescent="0.25">
      <c r="A73" s="465" t="s">
        <v>61</v>
      </c>
      <c r="B73" s="466"/>
      <c r="C73" s="466"/>
      <c r="D73" s="466"/>
      <c r="E73" s="466"/>
      <c r="F73" s="466"/>
      <c r="G73" s="466"/>
      <c r="H73" s="467"/>
      <c r="I73" s="436">
        <v>1</v>
      </c>
      <c r="J73" s="437"/>
    </row>
    <row r="74" spans="1:10" ht="15.75" x14ac:dyDescent="0.25">
      <c r="A74" s="465" t="s">
        <v>62</v>
      </c>
      <c r="B74" s="466"/>
      <c r="C74" s="466"/>
      <c r="D74" s="466"/>
      <c r="E74" s="466"/>
      <c r="F74" s="466"/>
      <c r="G74" s="466"/>
      <c r="H74" s="467"/>
      <c r="I74" s="436">
        <f>I72/I73</f>
        <v>43.35</v>
      </c>
      <c r="J74" s="437"/>
    </row>
    <row r="75" spans="1:10" ht="15.75" x14ac:dyDescent="0.25">
      <c r="A75" s="324"/>
      <c r="B75" s="325"/>
      <c r="C75" s="325"/>
      <c r="D75" s="325"/>
      <c r="E75" s="325"/>
      <c r="F75" s="325"/>
      <c r="G75" s="325"/>
      <c r="H75" s="325"/>
      <c r="I75" s="325"/>
      <c r="J75" s="326"/>
    </row>
    <row r="76" spans="1:10" ht="15.75" x14ac:dyDescent="0.25">
      <c r="A76" s="465" t="s">
        <v>66</v>
      </c>
      <c r="B76" s="466"/>
      <c r="C76" s="466"/>
      <c r="D76" s="466"/>
      <c r="E76" s="466"/>
      <c r="F76" s="466"/>
      <c r="G76" s="466"/>
      <c r="H76" s="467"/>
      <c r="I76" s="436">
        <f>I74</f>
        <v>43.35</v>
      </c>
      <c r="J76" s="437"/>
    </row>
    <row r="77" spans="1:10" ht="15.75" customHeight="1" x14ac:dyDescent="0.25">
      <c r="A77" s="465" t="s">
        <v>99</v>
      </c>
      <c r="B77" s="466"/>
      <c r="C77" s="466"/>
      <c r="D77" s="466"/>
      <c r="E77" s="466"/>
      <c r="F77" s="466"/>
      <c r="G77" s="466"/>
      <c r="H77" s="467"/>
      <c r="I77" s="436">
        <f>I76*0.2654</f>
        <v>11.505090000000001</v>
      </c>
      <c r="J77" s="437"/>
    </row>
    <row r="78" spans="1:10" ht="15.75" x14ac:dyDescent="0.25">
      <c r="A78" s="465" t="s">
        <v>51</v>
      </c>
      <c r="B78" s="466"/>
      <c r="C78" s="466"/>
      <c r="D78" s="466"/>
      <c r="E78" s="466"/>
      <c r="F78" s="466"/>
      <c r="G78" s="466"/>
      <c r="H78" s="467"/>
      <c r="I78" s="436">
        <f>SUM(I76:J77)</f>
        <v>54.855090000000004</v>
      </c>
      <c r="J78" s="437"/>
    </row>
    <row r="79" spans="1:10" ht="15.75" x14ac:dyDescent="0.25">
      <c r="A79" s="477"/>
      <c r="B79" s="477"/>
      <c r="C79" s="477"/>
      <c r="D79" s="477"/>
      <c r="E79" s="477"/>
      <c r="F79" s="477"/>
      <c r="G79" s="477"/>
      <c r="H79" s="477"/>
      <c r="I79" s="477"/>
      <c r="J79" s="477"/>
    </row>
    <row r="80" spans="1:10" ht="15.75" customHeight="1" x14ac:dyDescent="0.2">
      <c r="A80" s="74" t="s">
        <v>44</v>
      </c>
      <c r="B80" s="433" t="s">
        <v>156</v>
      </c>
      <c r="C80" s="433"/>
      <c r="D80" s="433"/>
      <c r="E80" s="433"/>
      <c r="F80" s="433"/>
      <c r="G80" s="433"/>
      <c r="H80" s="433"/>
      <c r="I80" s="433"/>
      <c r="J80" s="434"/>
    </row>
    <row r="81" spans="1:10" ht="15.75" customHeight="1" x14ac:dyDescent="0.2">
      <c r="A81" s="74" t="s">
        <v>49</v>
      </c>
      <c r="B81" s="468" t="s">
        <v>52</v>
      </c>
      <c r="C81" s="468"/>
      <c r="D81" s="468"/>
      <c r="E81" s="75"/>
      <c r="F81" s="469" t="s">
        <v>144</v>
      </c>
      <c r="G81" s="469"/>
      <c r="H81" s="469"/>
      <c r="I81" s="469"/>
      <c r="J81" s="470"/>
    </row>
    <row r="82" spans="1:10" ht="4.5" customHeight="1" x14ac:dyDescent="0.25">
      <c r="A82" s="324"/>
      <c r="B82" s="325"/>
      <c r="C82" s="325"/>
      <c r="D82" s="325"/>
      <c r="E82" s="325"/>
      <c r="F82" s="325"/>
      <c r="G82" s="325"/>
      <c r="H82" s="325"/>
      <c r="I82" s="325"/>
      <c r="J82" s="326"/>
    </row>
    <row r="83" spans="1:10" ht="15.75" x14ac:dyDescent="0.25">
      <c r="A83" s="471" t="s">
        <v>59</v>
      </c>
      <c r="B83" s="472"/>
      <c r="C83" s="472"/>
      <c r="D83" s="472"/>
      <c r="E83" s="472"/>
      <c r="F83" s="472"/>
      <c r="G83" s="472"/>
      <c r="H83" s="472"/>
      <c r="I83" s="472"/>
      <c r="J83" s="473"/>
    </row>
    <row r="84" spans="1:10" ht="15.75" customHeight="1" x14ac:dyDescent="0.2">
      <c r="A84" s="76" t="s">
        <v>45</v>
      </c>
      <c r="B84" s="77" t="s">
        <v>46</v>
      </c>
      <c r="C84" s="457" t="s">
        <v>26</v>
      </c>
      <c r="D84" s="458"/>
      <c r="E84" s="459"/>
      <c r="F84" s="457" t="s">
        <v>4</v>
      </c>
      <c r="G84" s="459"/>
      <c r="H84" s="78" t="s">
        <v>22</v>
      </c>
      <c r="I84" s="327" t="s">
        <v>55</v>
      </c>
      <c r="J84" s="79" t="s">
        <v>63</v>
      </c>
    </row>
    <row r="85" spans="1:10" ht="15.75" customHeight="1" x14ac:dyDescent="0.2">
      <c r="A85" s="48">
        <v>10101</v>
      </c>
      <c r="B85" s="80" t="s">
        <v>64</v>
      </c>
      <c r="C85" s="441" t="s">
        <v>95</v>
      </c>
      <c r="D85" s="442"/>
      <c r="E85" s="443"/>
      <c r="F85" s="444" t="s">
        <v>67</v>
      </c>
      <c r="G85" s="445"/>
      <c r="H85" s="47">
        <v>0.01</v>
      </c>
      <c r="I85" s="320">
        <v>5.42</v>
      </c>
      <c r="J85" s="81">
        <f>I85*H85</f>
        <v>5.4199999999999998E-2</v>
      </c>
    </row>
    <row r="86" spans="1:10" ht="15.75" customHeight="1" x14ac:dyDescent="0.2">
      <c r="A86" s="478" t="s">
        <v>48</v>
      </c>
      <c r="B86" s="479"/>
      <c r="C86" s="479"/>
      <c r="D86" s="479"/>
      <c r="E86" s="479"/>
      <c r="F86" s="479"/>
      <c r="G86" s="479"/>
      <c r="H86" s="479"/>
      <c r="I86" s="480"/>
      <c r="J86" s="82">
        <f>SUM(J85:J85)</f>
        <v>5.4199999999999998E-2</v>
      </c>
    </row>
    <row r="87" spans="1:10" ht="15.75" customHeight="1" x14ac:dyDescent="0.25">
      <c r="A87" s="321"/>
      <c r="B87" s="322"/>
      <c r="C87" s="322"/>
      <c r="D87" s="322"/>
      <c r="E87" s="322"/>
      <c r="F87" s="322"/>
      <c r="G87" s="322"/>
      <c r="H87" s="322"/>
      <c r="I87" s="322"/>
      <c r="J87" s="323"/>
    </row>
    <row r="88" spans="1:10" ht="15.75" x14ac:dyDescent="0.25">
      <c r="A88" s="471" t="s">
        <v>65</v>
      </c>
      <c r="B88" s="472"/>
      <c r="C88" s="472"/>
      <c r="D88" s="472"/>
      <c r="E88" s="472"/>
      <c r="F88" s="472"/>
      <c r="G88" s="472"/>
      <c r="H88" s="472"/>
      <c r="I88" s="472"/>
      <c r="J88" s="473"/>
    </row>
    <row r="89" spans="1:10" ht="15.75" customHeight="1" x14ac:dyDescent="0.2">
      <c r="A89" s="76" t="s">
        <v>45</v>
      </c>
      <c r="B89" s="77" t="s">
        <v>46</v>
      </c>
      <c r="C89" s="457" t="s">
        <v>26</v>
      </c>
      <c r="D89" s="458"/>
      <c r="E89" s="459"/>
      <c r="F89" s="457" t="s">
        <v>4</v>
      </c>
      <c r="G89" s="459"/>
      <c r="H89" s="78" t="s">
        <v>22</v>
      </c>
      <c r="I89" s="327" t="s">
        <v>55</v>
      </c>
      <c r="J89" s="79" t="s">
        <v>63</v>
      </c>
    </row>
    <row r="90" spans="1:10" ht="15.75" customHeight="1" x14ac:dyDescent="0.2">
      <c r="A90" s="488" t="s">
        <v>155</v>
      </c>
      <c r="B90" s="489"/>
      <c r="C90" s="441" t="s">
        <v>156</v>
      </c>
      <c r="D90" s="442"/>
      <c r="E90" s="443"/>
      <c r="F90" s="444" t="s">
        <v>52</v>
      </c>
      <c r="G90" s="445"/>
      <c r="H90" s="47" t="s">
        <v>23</v>
      </c>
      <c r="I90" s="320">
        <v>6.98</v>
      </c>
      <c r="J90" s="320">
        <f>I90</f>
        <v>6.98</v>
      </c>
    </row>
    <row r="91" spans="1:10" ht="15.75" x14ac:dyDescent="0.25">
      <c r="A91" s="474" t="s">
        <v>50</v>
      </c>
      <c r="B91" s="475"/>
      <c r="C91" s="475"/>
      <c r="D91" s="475"/>
      <c r="E91" s="475"/>
      <c r="F91" s="475"/>
      <c r="G91" s="475"/>
      <c r="H91" s="475"/>
      <c r="I91" s="476"/>
      <c r="J91" s="86">
        <f>SUM(J90:J90)</f>
        <v>6.98</v>
      </c>
    </row>
    <row r="92" spans="1:10" ht="15.75" x14ac:dyDescent="0.25">
      <c r="A92" s="87"/>
      <c r="B92" s="88"/>
      <c r="C92" s="89"/>
      <c r="D92" s="89"/>
      <c r="E92" s="89"/>
      <c r="F92" s="88"/>
      <c r="G92" s="90"/>
      <c r="H92" s="91"/>
      <c r="I92" s="92"/>
      <c r="J92" s="93"/>
    </row>
    <row r="93" spans="1:10" ht="15.75" x14ac:dyDescent="0.25">
      <c r="A93" s="465" t="s">
        <v>60</v>
      </c>
      <c r="B93" s="466"/>
      <c r="C93" s="466"/>
      <c r="D93" s="466"/>
      <c r="E93" s="466"/>
      <c r="F93" s="466"/>
      <c r="G93" s="466"/>
      <c r="H93" s="467"/>
      <c r="I93" s="436">
        <f>SUM(J86+J91)</f>
        <v>7.0342000000000002</v>
      </c>
      <c r="J93" s="437"/>
    </row>
    <row r="94" spans="1:10" ht="15.75" x14ac:dyDescent="0.25">
      <c r="A94" s="465" t="s">
        <v>61</v>
      </c>
      <c r="B94" s="466"/>
      <c r="C94" s="466"/>
      <c r="D94" s="466"/>
      <c r="E94" s="466"/>
      <c r="F94" s="466"/>
      <c r="G94" s="466"/>
      <c r="H94" s="467"/>
      <c r="I94" s="436">
        <v>1</v>
      </c>
      <c r="J94" s="437"/>
    </row>
    <row r="95" spans="1:10" ht="15.75" x14ac:dyDescent="0.25">
      <c r="A95" s="465" t="s">
        <v>62</v>
      </c>
      <c r="B95" s="466"/>
      <c r="C95" s="466"/>
      <c r="D95" s="466"/>
      <c r="E95" s="466"/>
      <c r="F95" s="466"/>
      <c r="G95" s="466"/>
      <c r="H95" s="467"/>
      <c r="I95" s="436">
        <f>I93/I94</f>
        <v>7.0342000000000002</v>
      </c>
      <c r="J95" s="437"/>
    </row>
    <row r="96" spans="1:10" ht="15.75" x14ac:dyDescent="0.25">
      <c r="A96" s="324"/>
      <c r="B96" s="325"/>
      <c r="C96" s="325"/>
      <c r="D96" s="325"/>
      <c r="E96" s="325"/>
      <c r="F96" s="325"/>
      <c r="G96" s="325"/>
      <c r="H96" s="325"/>
      <c r="I96" s="325"/>
      <c r="J96" s="326"/>
    </row>
    <row r="97" spans="1:10" ht="15.75" x14ac:dyDescent="0.25">
      <c r="A97" s="465" t="s">
        <v>66</v>
      </c>
      <c r="B97" s="466"/>
      <c r="C97" s="466"/>
      <c r="D97" s="466"/>
      <c r="E97" s="466"/>
      <c r="F97" s="466"/>
      <c r="G97" s="466"/>
      <c r="H97" s="467"/>
      <c r="I97" s="436">
        <f>I95</f>
        <v>7.0342000000000002</v>
      </c>
      <c r="J97" s="437"/>
    </row>
    <row r="98" spans="1:10" ht="15.75" customHeight="1" x14ac:dyDescent="0.25">
      <c r="A98" s="465" t="s">
        <v>99</v>
      </c>
      <c r="B98" s="466"/>
      <c r="C98" s="466"/>
      <c r="D98" s="466"/>
      <c r="E98" s="466"/>
      <c r="F98" s="466"/>
      <c r="G98" s="466"/>
      <c r="H98" s="467"/>
      <c r="I98" s="436">
        <f>I97*0.2654</f>
        <v>1.8668766800000003</v>
      </c>
      <c r="J98" s="437"/>
    </row>
    <row r="99" spans="1:10" ht="15.75" x14ac:dyDescent="0.25">
      <c r="A99" s="465" t="s">
        <v>51</v>
      </c>
      <c r="B99" s="466"/>
      <c r="C99" s="466"/>
      <c r="D99" s="466"/>
      <c r="E99" s="466"/>
      <c r="F99" s="466"/>
      <c r="G99" s="466"/>
      <c r="H99" s="467"/>
      <c r="I99" s="436">
        <f>SUM(I97:J98)</f>
        <v>8.901076680000001</v>
      </c>
      <c r="J99" s="437"/>
    </row>
    <row r="100" spans="1:10" ht="15.75" x14ac:dyDescent="0.25">
      <c r="A100" s="477"/>
      <c r="B100" s="477"/>
      <c r="C100" s="477"/>
      <c r="D100" s="477"/>
      <c r="E100" s="477"/>
      <c r="F100" s="477"/>
      <c r="G100" s="477"/>
      <c r="H100" s="477"/>
      <c r="I100" s="477"/>
      <c r="J100" s="477"/>
    </row>
    <row r="101" spans="1:10" ht="15.75" customHeight="1" x14ac:dyDescent="0.2">
      <c r="A101" s="74" t="s">
        <v>44</v>
      </c>
      <c r="B101" s="429" t="s">
        <v>177</v>
      </c>
      <c r="C101" s="429"/>
      <c r="D101" s="429"/>
      <c r="E101" s="429"/>
      <c r="F101" s="429"/>
      <c r="G101" s="429"/>
      <c r="H101" s="429"/>
      <c r="I101" s="429"/>
      <c r="J101" s="430"/>
    </row>
    <row r="102" spans="1:10" ht="15.75" customHeight="1" x14ac:dyDescent="0.2">
      <c r="A102" s="74" t="s">
        <v>49</v>
      </c>
      <c r="B102" s="468" t="s">
        <v>11</v>
      </c>
      <c r="C102" s="468"/>
      <c r="D102" s="468"/>
      <c r="E102" s="75"/>
      <c r="F102" s="469" t="s">
        <v>157</v>
      </c>
      <c r="G102" s="469"/>
      <c r="H102" s="469"/>
      <c r="I102" s="469"/>
      <c r="J102" s="470"/>
    </row>
    <row r="103" spans="1:10" ht="5.25" customHeight="1" x14ac:dyDescent="0.25">
      <c r="A103" s="324"/>
      <c r="B103" s="325"/>
      <c r="C103" s="325"/>
      <c r="D103" s="325"/>
      <c r="E103" s="325"/>
      <c r="F103" s="325"/>
      <c r="G103" s="325"/>
      <c r="H103" s="325"/>
      <c r="I103" s="325"/>
      <c r="J103" s="326"/>
    </row>
    <row r="104" spans="1:10" ht="15.75" x14ac:dyDescent="0.25">
      <c r="A104" s="471" t="s">
        <v>59</v>
      </c>
      <c r="B104" s="472"/>
      <c r="C104" s="472"/>
      <c r="D104" s="472"/>
      <c r="E104" s="472"/>
      <c r="F104" s="472"/>
      <c r="G104" s="472"/>
      <c r="H104" s="472"/>
      <c r="I104" s="472"/>
      <c r="J104" s="473"/>
    </row>
    <row r="105" spans="1:10" ht="15.75" customHeight="1" x14ac:dyDescent="0.2">
      <c r="A105" s="76" t="s">
        <v>45</v>
      </c>
      <c r="B105" s="77" t="s">
        <v>46</v>
      </c>
      <c r="C105" s="457" t="s">
        <v>26</v>
      </c>
      <c r="D105" s="458"/>
      <c r="E105" s="459"/>
      <c r="F105" s="457" t="s">
        <v>4</v>
      </c>
      <c r="G105" s="459"/>
      <c r="H105" s="78" t="s">
        <v>22</v>
      </c>
      <c r="I105" s="327" t="s">
        <v>55</v>
      </c>
      <c r="J105" s="79" t="s">
        <v>63</v>
      </c>
    </row>
    <row r="106" spans="1:10" ht="15.75" customHeight="1" x14ac:dyDescent="0.2">
      <c r="A106" s="94">
        <v>10139</v>
      </c>
      <c r="B106" s="96" t="s">
        <v>64</v>
      </c>
      <c r="C106" s="460" t="s">
        <v>169</v>
      </c>
      <c r="D106" s="461"/>
      <c r="E106" s="462"/>
      <c r="F106" s="463" t="s">
        <v>67</v>
      </c>
      <c r="G106" s="464"/>
      <c r="H106" s="97">
        <v>0.6</v>
      </c>
      <c r="I106" s="98">
        <v>6.42</v>
      </c>
      <c r="J106" s="81">
        <f>I106*H106</f>
        <v>3.8519999999999999</v>
      </c>
    </row>
    <row r="107" spans="1:10" ht="15.75" customHeight="1" x14ac:dyDescent="0.2">
      <c r="A107" s="48">
        <v>10146</v>
      </c>
      <c r="B107" s="80" t="s">
        <v>64</v>
      </c>
      <c r="C107" s="441" t="s">
        <v>170</v>
      </c>
      <c r="D107" s="442"/>
      <c r="E107" s="443"/>
      <c r="F107" s="444" t="s">
        <v>67</v>
      </c>
      <c r="G107" s="445"/>
      <c r="H107" s="356">
        <v>0.6</v>
      </c>
      <c r="I107" s="83">
        <v>4.72</v>
      </c>
      <c r="J107" s="81">
        <f>I107*H107</f>
        <v>2.8319999999999999</v>
      </c>
    </row>
    <row r="108" spans="1:10" ht="15.75" customHeight="1" x14ac:dyDescent="0.2">
      <c r="A108" s="478" t="s">
        <v>48</v>
      </c>
      <c r="B108" s="479"/>
      <c r="C108" s="479"/>
      <c r="D108" s="479"/>
      <c r="E108" s="479"/>
      <c r="F108" s="479"/>
      <c r="G108" s="479"/>
      <c r="H108" s="479"/>
      <c r="I108" s="480"/>
      <c r="J108" s="82">
        <f>SUM(J106:J107)</f>
        <v>6.6839999999999993</v>
      </c>
    </row>
    <row r="109" spans="1:10" ht="15.75" x14ac:dyDescent="0.25">
      <c r="A109" s="321"/>
      <c r="B109" s="322"/>
      <c r="C109" s="322"/>
      <c r="D109" s="322"/>
      <c r="E109" s="322"/>
      <c r="F109" s="322"/>
      <c r="G109" s="322"/>
      <c r="H109" s="322"/>
      <c r="I109" s="322"/>
      <c r="J109" s="323"/>
    </row>
    <row r="110" spans="1:10" ht="15.75" x14ac:dyDescent="0.25">
      <c r="A110" s="465" t="s">
        <v>60</v>
      </c>
      <c r="B110" s="466"/>
      <c r="C110" s="466"/>
      <c r="D110" s="466"/>
      <c r="E110" s="466"/>
      <c r="F110" s="466"/>
      <c r="G110" s="466"/>
      <c r="H110" s="467"/>
      <c r="I110" s="436">
        <f>J108</f>
        <v>6.6839999999999993</v>
      </c>
      <c r="J110" s="437"/>
    </row>
    <row r="111" spans="1:10" ht="15.75" x14ac:dyDescent="0.25">
      <c r="A111" s="465" t="s">
        <v>61</v>
      </c>
      <c r="B111" s="466"/>
      <c r="C111" s="466"/>
      <c r="D111" s="466"/>
      <c r="E111" s="466"/>
      <c r="F111" s="466"/>
      <c r="G111" s="466"/>
      <c r="H111" s="467"/>
      <c r="I111" s="436">
        <v>1</v>
      </c>
      <c r="J111" s="437"/>
    </row>
    <row r="112" spans="1:10" ht="15.75" x14ac:dyDescent="0.25">
      <c r="A112" s="465" t="s">
        <v>62</v>
      </c>
      <c r="B112" s="466"/>
      <c r="C112" s="466"/>
      <c r="D112" s="466"/>
      <c r="E112" s="466"/>
      <c r="F112" s="466"/>
      <c r="G112" s="466"/>
      <c r="H112" s="467"/>
      <c r="I112" s="436">
        <f>I110/I111</f>
        <v>6.6839999999999993</v>
      </c>
      <c r="J112" s="437"/>
    </row>
    <row r="113" spans="1:10" ht="15.75" x14ac:dyDescent="0.25">
      <c r="A113" s="354"/>
      <c r="B113" s="355"/>
      <c r="C113" s="355"/>
      <c r="D113" s="355"/>
      <c r="E113" s="355"/>
      <c r="F113" s="355"/>
      <c r="G113" s="355"/>
      <c r="H113" s="355"/>
      <c r="I113" s="325"/>
      <c r="J113" s="326"/>
    </row>
    <row r="114" spans="1:10" ht="15.75" x14ac:dyDescent="0.25">
      <c r="A114" s="465" t="s">
        <v>66</v>
      </c>
      <c r="B114" s="466"/>
      <c r="C114" s="466"/>
      <c r="D114" s="466"/>
      <c r="E114" s="466"/>
      <c r="F114" s="466"/>
      <c r="G114" s="466"/>
      <c r="H114" s="467"/>
      <c r="I114" s="436">
        <f>I112</f>
        <v>6.6839999999999993</v>
      </c>
      <c r="J114" s="437"/>
    </row>
    <row r="115" spans="1:10" ht="15.75" x14ac:dyDescent="0.25">
      <c r="A115" s="465" t="s">
        <v>99</v>
      </c>
      <c r="B115" s="466"/>
      <c r="C115" s="466"/>
      <c r="D115" s="466"/>
      <c r="E115" s="466"/>
      <c r="F115" s="466"/>
      <c r="G115" s="466"/>
      <c r="H115" s="467"/>
      <c r="I115" s="436">
        <f>I114*0.2654</f>
        <v>1.7739335999999999</v>
      </c>
      <c r="J115" s="437"/>
    </row>
    <row r="116" spans="1:10" ht="15.75" x14ac:dyDescent="0.25">
      <c r="A116" s="465" t="s">
        <v>51</v>
      </c>
      <c r="B116" s="466"/>
      <c r="C116" s="466"/>
      <c r="D116" s="466"/>
      <c r="E116" s="466"/>
      <c r="F116" s="466"/>
      <c r="G116" s="466"/>
      <c r="H116" s="467"/>
      <c r="I116" s="436">
        <f>SUM(I114:J115)</f>
        <v>8.4579335999999987</v>
      </c>
      <c r="J116" s="437"/>
    </row>
    <row r="117" spans="1:10" ht="15.75" x14ac:dyDescent="0.25">
      <c r="A117" s="477"/>
      <c r="B117" s="477"/>
      <c r="C117" s="477"/>
      <c r="D117" s="477"/>
      <c r="E117" s="477"/>
      <c r="F117" s="477"/>
      <c r="G117" s="477"/>
      <c r="H117" s="477"/>
      <c r="I117" s="477"/>
      <c r="J117" s="477"/>
    </row>
    <row r="118" spans="1:10" ht="15.75" customHeight="1" x14ac:dyDescent="0.2">
      <c r="A118" s="74" t="s">
        <v>44</v>
      </c>
      <c r="B118" s="433" t="s">
        <v>180</v>
      </c>
      <c r="C118" s="433"/>
      <c r="D118" s="433"/>
      <c r="E118" s="433"/>
      <c r="F118" s="433"/>
      <c r="G118" s="433"/>
      <c r="H118" s="433"/>
      <c r="I118" s="433"/>
      <c r="J118" s="434"/>
    </row>
    <row r="119" spans="1:10" ht="15.75" customHeight="1" x14ac:dyDescent="0.2">
      <c r="A119" s="74" t="s">
        <v>49</v>
      </c>
      <c r="B119" s="468" t="s">
        <v>56</v>
      </c>
      <c r="C119" s="468"/>
      <c r="D119" s="468"/>
      <c r="E119" s="75"/>
      <c r="F119" s="469" t="s">
        <v>165</v>
      </c>
      <c r="G119" s="469"/>
      <c r="H119" s="469"/>
      <c r="I119" s="469"/>
      <c r="J119" s="470"/>
    </row>
    <row r="120" spans="1:10" ht="4.5" customHeight="1" x14ac:dyDescent="0.25">
      <c r="A120" s="324"/>
      <c r="B120" s="325"/>
      <c r="C120" s="325"/>
      <c r="D120" s="325"/>
      <c r="E120" s="325"/>
      <c r="F120" s="325"/>
      <c r="G120" s="325"/>
      <c r="H120" s="325"/>
      <c r="I120" s="325"/>
      <c r="J120" s="326"/>
    </row>
    <row r="121" spans="1:10" ht="15.75" x14ac:dyDescent="0.25">
      <c r="A121" s="471" t="s">
        <v>59</v>
      </c>
      <c r="B121" s="472"/>
      <c r="C121" s="472"/>
      <c r="D121" s="472"/>
      <c r="E121" s="472"/>
      <c r="F121" s="472"/>
      <c r="G121" s="472"/>
      <c r="H121" s="472"/>
      <c r="I121" s="472"/>
      <c r="J121" s="473"/>
    </row>
    <row r="122" spans="1:10" ht="15.75" customHeight="1" x14ac:dyDescent="0.2">
      <c r="A122" s="76" t="s">
        <v>45</v>
      </c>
      <c r="B122" s="77" t="s">
        <v>46</v>
      </c>
      <c r="C122" s="457" t="s">
        <v>26</v>
      </c>
      <c r="D122" s="458"/>
      <c r="E122" s="459"/>
      <c r="F122" s="457" t="s">
        <v>4</v>
      </c>
      <c r="G122" s="459"/>
      <c r="H122" s="78" t="s">
        <v>22</v>
      </c>
      <c r="I122" s="327" t="s">
        <v>55</v>
      </c>
      <c r="J122" s="79" t="s">
        <v>63</v>
      </c>
    </row>
    <row r="123" spans="1:10" ht="15.75" customHeight="1" x14ac:dyDescent="0.2">
      <c r="A123" s="94">
        <v>10118</v>
      </c>
      <c r="B123" s="96" t="s">
        <v>64</v>
      </c>
      <c r="C123" s="460" t="s">
        <v>106</v>
      </c>
      <c r="D123" s="461"/>
      <c r="E123" s="462"/>
      <c r="F123" s="463" t="s">
        <v>67</v>
      </c>
      <c r="G123" s="464"/>
      <c r="H123" s="99">
        <v>2.25</v>
      </c>
      <c r="I123" s="98">
        <v>6.42</v>
      </c>
      <c r="J123" s="81">
        <f>I123*H123</f>
        <v>14.445</v>
      </c>
    </row>
    <row r="124" spans="1:10" ht="15.75" customHeight="1" x14ac:dyDescent="0.2">
      <c r="A124" s="48">
        <v>10101</v>
      </c>
      <c r="B124" s="80" t="s">
        <v>64</v>
      </c>
      <c r="C124" s="441" t="s">
        <v>95</v>
      </c>
      <c r="D124" s="442"/>
      <c r="E124" s="443"/>
      <c r="F124" s="444" t="s">
        <v>67</v>
      </c>
      <c r="G124" s="445"/>
      <c r="H124" s="356">
        <v>2</v>
      </c>
      <c r="I124" s="83">
        <v>5.42</v>
      </c>
      <c r="J124" s="81">
        <f>I124*H124</f>
        <v>10.84</v>
      </c>
    </row>
    <row r="125" spans="1:10" ht="15.75" customHeight="1" x14ac:dyDescent="0.2">
      <c r="A125" s="478" t="s">
        <v>185</v>
      </c>
      <c r="B125" s="479"/>
      <c r="C125" s="479"/>
      <c r="D125" s="479"/>
      <c r="E125" s="479"/>
      <c r="F125" s="479"/>
      <c r="G125" s="479"/>
      <c r="H125" s="479"/>
      <c r="I125" s="480"/>
      <c r="J125" s="82">
        <f>SUM(J123:J124)</f>
        <v>25.285</v>
      </c>
    </row>
    <row r="126" spans="1:10" ht="15.75" x14ac:dyDescent="0.2">
      <c r="A126" s="100"/>
      <c r="B126" s="101"/>
      <c r="C126" s="101"/>
      <c r="D126" s="101"/>
      <c r="E126" s="101"/>
      <c r="F126" s="101"/>
      <c r="G126" s="101"/>
      <c r="H126" s="101"/>
      <c r="I126" s="101"/>
      <c r="J126" s="102"/>
    </row>
    <row r="127" spans="1:10" ht="15.75" x14ac:dyDescent="0.25">
      <c r="A127" s="471" t="s">
        <v>65</v>
      </c>
      <c r="B127" s="472"/>
      <c r="C127" s="472"/>
      <c r="D127" s="472"/>
      <c r="E127" s="472"/>
      <c r="F127" s="472"/>
      <c r="G127" s="472"/>
      <c r="H127" s="472"/>
      <c r="I127" s="472"/>
      <c r="J127" s="473"/>
    </row>
    <row r="128" spans="1:10" ht="15.75" customHeight="1" x14ac:dyDescent="0.2">
      <c r="A128" s="76" t="s">
        <v>45</v>
      </c>
      <c r="B128" s="77" t="s">
        <v>46</v>
      </c>
      <c r="C128" s="457" t="s">
        <v>26</v>
      </c>
      <c r="D128" s="458"/>
      <c r="E128" s="459"/>
      <c r="F128" s="457" t="s">
        <v>4</v>
      </c>
      <c r="G128" s="459"/>
      <c r="H128" s="78" t="s">
        <v>22</v>
      </c>
      <c r="I128" s="327" t="s">
        <v>55</v>
      </c>
      <c r="J128" s="79" t="s">
        <v>63</v>
      </c>
    </row>
    <row r="129" spans="1:10" ht="15.75" x14ac:dyDescent="0.25">
      <c r="A129" s="103">
        <v>26549</v>
      </c>
      <c r="B129" s="103" t="s">
        <v>64</v>
      </c>
      <c r="C129" s="483" t="s">
        <v>181</v>
      </c>
      <c r="D129" s="484"/>
      <c r="E129" s="485"/>
      <c r="F129" s="328" t="s">
        <v>56</v>
      </c>
      <c r="G129" s="329"/>
      <c r="H129" s="104">
        <v>2</v>
      </c>
      <c r="I129" s="104">
        <v>7.0000000000000007E-2</v>
      </c>
      <c r="J129" s="105">
        <f>I129*H129</f>
        <v>0.14000000000000001</v>
      </c>
    </row>
    <row r="130" spans="1:10" ht="15.75" x14ac:dyDescent="0.25">
      <c r="A130" s="103">
        <v>69506</v>
      </c>
      <c r="B130" s="103" t="s">
        <v>64</v>
      </c>
      <c r="C130" s="483" t="s">
        <v>182</v>
      </c>
      <c r="D130" s="484"/>
      <c r="E130" s="485"/>
      <c r="F130" s="328" t="s">
        <v>56</v>
      </c>
      <c r="G130" s="329"/>
      <c r="H130" s="104">
        <v>1</v>
      </c>
      <c r="I130" s="104">
        <v>13.75</v>
      </c>
      <c r="J130" s="105">
        <f t="shared" ref="J130:J132" si="1">I130*H130</f>
        <v>13.75</v>
      </c>
    </row>
    <row r="131" spans="1:10" ht="15.75" x14ac:dyDescent="0.25">
      <c r="A131" s="103">
        <v>69512</v>
      </c>
      <c r="B131" s="103" t="s">
        <v>64</v>
      </c>
      <c r="C131" s="483" t="s">
        <v>183</v>
      </c>
      <c r="D131" s="484"/>
      <c r="E131" s="485"/>
      <c r="F131" s="328" t="s">
        <v>52</v>
      </c>
      <c r="G131" s="329"/>
      <c r="H131" s="104">
        <v>0.56000000000000005</v>
      </c>
      <c r="I131" s="104">
        <v>0.17</v>
      </c>
      <c r="J131" s="105">
        <f t="shared" si="1"/>
        <v>9.5200000000000021E-2</v>
      </c>
    </row>
    <row r="132" spans="1:10" ht="15.75" x14ac:dyDescent="0.25">
      <c r="A132" s="103">
        <v>26550</v>
      </c>
      <c r="B132" s="103" t="s">
        <v>64</v>
      </c>
      <c r="C132" s="483" t="s">
        <v>184</v>
      </c>
      <c r="D132" s="484"/>
      <c r="E132" s="485"/>
      <c r="F132" s="328" t="s">
        <v>56</v>
      </c>
      <c r="G132" s="329"/>
      <c r="H132" s="104">
        <v>2</v>
      </c>
      <c r="I132" s="104">
        <v>8.51</v>
      </c>
      <c r="J132" s="105">
        <f t="shared" si="1"/>
        <v>17.02</v>
      </c>
    </row>
    <row r="133" spans="1:10" ht="15.75" x14ac:dyDescent="0.2">
      <c r="A133" s="478" t="s">
        <v>48</v>
      </c>
      <c r="B133" s="479"/>
      <c r="C133" s="479"/>
      <c r="D133" s="479"/>
      <c r="E133" s="479"/>
      <c r="F133" s="479"/>
      <c r="G133" s="479"/>
      <c r="H133" s="479"/>
      <c r="I133" s="480"/>
      <c r="J133" s="106">
        <f>SUM(J129:J132)</f>
        <v>31.005200000000002</v>
      </c>
    </row>
    <row r="134" spans="1:10" ht="15.75" x14ac:dyDescent="0.25">
      <c r="A134" s="321"/>
      <c r="B134" s="322"/>
      <c r="C134" s="322"/>
      <c r="D134" s="322"/>
      <c r="E134" s="322"/>
      <c r="F134" s="322"/>
      <c r="G134" s="322"/>
      <c r="H134" s="322"/>
      <c r="I134" s="322"/>
      <c r="J134" s="323"/>
    </row>
    <row r="135" spans="1:10" ht="15.75" x14ac:dyDescent="0.25">
      <c r="A135" s="465" t="s">
        <v>60</v>
      </c>
      <c r="B135" s="466"/>
      <c r="C135" s="466"/>
      <c r="D135" s="466"/>
      <c r="E135" s="466"/>
      <c r="F135" s="466"/>
      <c r="G135" s="466"/>
      <c r="H135" s="467"/>
      <c r="I135" s="436">
        <f>SUM(J125+J133)</f>
        <v>56.290199999999999</v>
      </c>
      <c r="J135" s="437"/>
    </row>
    <row r="136" spans="1:10" ht="15.75" customHeight="1" x14ac:dyDescent="0.25">
      <c r="A136" s="465" t="s">
        <v>61</v>
      </c>
      <c r="B136" s="466"/>
      <c r="C136" s="466"/>
      <c r="D136" s="466"/>
      <c r="E136" s="466"/>
      <c r="F136" s="466"/>
      <c r="G136" s="466"/>
      <c r="H136" s="467"/>
      <c r="I136" s="436">
        <v>1</v>
      </c>
      <c r="J136" s="437"/>
    </row>
    <row r="137" spans="1:10" ht="15.75" x14ac:dyDescent="0.25">
      <c r="A137" s="465" t="s">
        <v>62</v>
      </c>
      <c r="B137" s="466"/>
      <c r="C137" s="466"/>
      <c r="D137" s="466"/>
      <c r="E137" s="466"/>
      <c r="F137" s="466"/>
      <c r="G137" s="466"/>
      <c r="H137" s="467"/>
      <c r="I137" s="436">
        <f>I135/I136</f>
        <v>56.290199999999999</v>
      </c>
      <c r="J137" s="437"/>
    </row>
    <row r="138" spans="1:10" ht="15.75" x14ac:dyDescent="0.25">
      <c r="A138" s="354"/>
      <c r="B138" s="355"/>
      <c r="C138" s="355"/>
      <c r="D138" s="355"/>
      <c r="E138" s="355"/>
      <c r="F138" s="355"/>
      <c r="G138" s="355"/>
      <c r="H138" s="355"/>
      <c r="I138" s="325"/>
      <c r="J138" s="326"/>
    </row>
    <row r="139" spans="1:10" ht="15.75" x14ac:dyDescent="0.25">
      <c r="A139" s="465" t="s">
        <v>66</v>
      </c>
      <c r="B139" s="466"/>
      <c r="C139" s="466"/>
      <c r="D139" s="466"/>
      <c r="E139" s="466"/>
      <c r="F139" s="466"/>
      <c r="G139" s="466"/>
      <c r="H139" s="467"/>
      <c r="I139" s="436">
        <f>I137</f>
        <v>56.290199999999999</v>
      </c>
      <c r="J139" s="437"/>
    </row>
    <row r="140" spans="1:10" ht="15.75" customHeight="1" x14ac:dyDescent="0.25">
      <c r="A140" s="465" t="s">
        <v>99</v>
      </c>
      <c r="B140" s="466"/>
      <c r="C140" s="466"/>
      <c r="D140" s="466"/>
      <c r="E140" s="466"/>
      <c r="F140" s="466"/>
      <c r="G140" s="466"/>
      <c r="H140" s="467"/>
      <c r="I140" s="436">
        <f>I139*0.2654</f>
        <v>14.93941908</v>
      </c>
      <c r="J140" s="437"/>
    </row>
    <row r="141" spans="1:10" ht="15.75" customHeight="1" x14ac:dyDescent="0.25">
      <c r="A141" s="465" t="s">
        <v>51</v>
      </c>
      <c r="B141" s="466"/>
      <c r="C141" s="466"/>
      <c r="D141" s="466"/>
      <c r="E141" s="466"/>
      <c r="F141" s="466"/>
      <c r="G141" s="466"/>
      <c r="H141" s="467"/>
      <c r="I141" s="436">
        <f>SUM(I139:J140)</f>
        <v>71.229619079999992</v>
      </c>
      <c r="J141" s="437"/>
    </row>
    <row r="142" spans="1:10" ht="15.75" customHeight="1" x14ac:dyDescent="0.25">
      <c r="A142" s="431"/>
      <c r="B142" s="431"/>
      <c r="C142" s="431"/>
      <c r="D142" s="431"/>
      <c r="E142" s="431"/>
      <c r="F142" s="431"/>
      <c r="G142" s="431"/>
      <c r="H142" s="431"/>
      <c r="I142" s="431"/>
      <c r="J142" s="431"/>
    </row>
    <row r="143" spans="1:10" ht="15.75" customHeight="1" x14ac:dyDescent="0.2">
      <c r="A143" s="74" t="s">
        <v>44</v>
      </c>
      <c r="B143" s="433" t="s">
        <v>204</v>
      </c>
      <c r="C143" s="433"/>
      <c r="D143" s="433"/>
      <c r="E143" s="433"/>
      <c r="F143" s="433"/>
      <c r="G143" s="433"/>
      <c r="H143" s="433"/>
      <c r="I143" s="433"/>
      <c r="J143" s="434"/>
    </row>
    <row r="144" spans="1:10" ht="15.75" x14ac:dyDescent="0.2">
      <c r="A144" s="74" t="s">
        <v>49</v>
      </c>
      <c r="B144" s="468" t="s">
        <v>56</v>
      </c>
      <c r="C144" s="468"/>
      <c r="D144" s="468"/>
      <c r="E144" s="75"/>
      <c r="F144" s="469" t="s">
        <v>172</v>
      </c>
      <c r="G144" s="469"/>
      <c r="H144" s="469"/>
      <c r="I144" s="469"/>
      <c r="J144" s="470"/>
    </row>
    <row r="145" spans="1:10" ht="4.5" customHeight="1" x14ac:dyDescent="0.25">
      <c r="A145" s="324"/>
      <c r="B145" s="325"/>
      <c r="C145" s="325"/>
      <c r="D145" s="325"/>
      <c r="E145" s="325"/>
      <c r="F145" s="325"/>
      <c r="G145" s="325"/>
      <c r="H145" s="325"/>
      <c r="I145" s="325"/>
      <c r="J145" s="326"/>
    </row>
    <row r="146" spans="1:10" ht="15" customHeight="1" x14ac:dyDescent="0.25">
      <c r="A146" s="471" t="s">
        <v>59</v>
      </c>
      <c r="B146" s="472"/>
      <c r="C146" s="472"/>
      <c r="D146" s="472"/>
      <c r="E146" s="472"/>
      <c r="F146" s="472"/>
      <c r="G146" s="472"/>
      <c r="H146" s="472"/>
      <c r="I146" s="472"/>
      <c r="J146" s="473"/>
    </row>
    <row r="147" spans="1:10" ht="15.75" customHeight="1" x14ac:dyDescent="0.2">
      <c r="A147" s="76" t="s">
        <v>45</v>
      </c>
      <c r="B147" s="77" t="s">
        <v>46</v>
      </c>
      <c r="C147" s="457" t="s">
        <v>26</v>
      </c>
      <c r="D147" s="458"/>
      <c r="E147" s="459"/>
      <c r="F147" s="457" t="s">
        <v>4</v>
      </c>
      <c r="G147" s="459"/>
      <c r="H147" s="78" t="s">
        <v>22</v>
      </c>
      <c r="I147" s="327" t="s">
        <v>55</v>
      </c>
      <c r="J147" s="79" t="s">
        <v>63</v>
      </c>
    </row>
    <row r="148" spans="1:10" ht="15.75" customHeight="1" x14ac:dyDescent="0.2">
      <c r="A148" s="94">
        <v>10115</v>
      </c>
      <c r="B148" s="96" t="s">
        <v>64</v>
      </c>
      <c r="C148" s="460" t="s">
        <v>143</v>
      </c>
      <c r="D148" s="461"/>
      <c r="E148" s="462"/>
      <c r="F148" s="463" t="s">
        <v>67</v>
      </c>
      <c r="G148" s="464"/>
      <c r="H148" s="107">
        <v>0.08</v>
      </c>
      <c r="I148" s="98">
        <v>6.42</v>
      </c>
      <c r="J148" s="81">
        <f>I148*H148</f>
        <v>0.51360000000000006</v>
      </c>
    </row>
    <row r="149" spans="1:10" ht="15.75" customHeight="1" x14ac:dyDescent="0.2">
      <c r="A149" s="48">
        <v>10146</v>
      </c>
      <c r="B149" s="80" t="s">
        <v>64</v>
      </c>
      <c r="C149" s="441" t="s">
        <v>170</v>
      </c>
      <c r="D149" s="442"/>
      <c r="E149" s="443"/>
      <c r="F149" s="444" t="s">
        <v>67</v>
      </c>
      <c r="G149" s="445"/>
      <c r="H149" s="95">
        <v>5.0999999999999997E-2</v>
      </c>
      <c r="I149" s="83">
        <v>4.72</v>
      </c>
      <c r="J149" s="81">
        <f>I149*H149</f>
        <v>0.24071999999999996</v>
      </c>
    </row>
    <row r="150" spans="1:10" ht="15.75" customHeight="1" x14ac:dyDescent="0.2">
      <c r="A150" s="478" t="s">
        <v>48</v>
      </c>
      <c r="B150" s="479"/>
      <c r="C150" s="479"/>
      <c r="D150" s="479"/>
      <c r="E150" s="479"/>
      <c r="F150" s="479"/>
      <c r="G150" s="479"/>
      <c r="H150" s="479"/>
      <c r="I150" s="480"/>
      <c r="J150" s="82">
        <f>SUM(J148:J149)</f>
        <v>0.75431999999999999</v>
      </c>
    </row>
    <row r="151" spans="1:10" ht="15.75" customHeight="1" x14ac:dyDescent="0.25">
      <c r="A151" s="321"/>
      <c r="B151" s="322"/>
      <c r="C151" s="322"/>
      <c r="D151" s="322"/>
      <c r="E151" s="322"/>
      <c r="F151" s="322"/>
      <c r="G151" s="322"/>
      <c r="H151" s="322"/>
      <c r="I151" s="322"/>
      <c r="J151" s="323"/>
    </row>
    <row r="152" spans="1:10" ht="15.75" customHeight="1" x14ac:dyDescent="0.25">
      <c r="A152" s="465" t="s">
        <v>60</v>
      </c>
      <c r="B152" s="466"/>
      <c r="C152" s="466"/>
      <c r="D152" s="466"/>
      <c r="E152" s="466"/>
      <c r="F152" s="466"/>
      <c r="G152" s="466"/>
      <c r="H152" s="467"/>
      <c r="I152" s="436">
        <f>J150</f>
        <v>0.75431999999999999</v>
      </c>
      <c r="J152" s="437"/>
    </row>
    <row r="153" spans="1:10" ht="15.75" customHeight="1" x14ac:dyDescent="0.25">
      <c r="A153" s="465" t="s">
        <v>61</v>
      </c>
      <c r="B153" s="466"/>
      <c r="C153" s="466"/>
      <c r="D153" s="466"/>
      <c r="E153" s="466"/>
      <c r="F153" s="466"/>
      <c r="G153" s="466"/>
      <c r="H153" s="467"/>
      <c r="I153" s="436">
        <v>1</v>
      </c>
      <c r="J153" s="437"/>
    </row>
    <row r="154" spans="1:10" ht="15.75" x14ac:dyDescent="0.25">
      <c r="A154" s="465" t="s">
        <v>62</v>
      </c>
      <c r="B154" s="466"/>
      <c r="C154" s="466"/>
      <c r="D154" s="466"/>
      <c r="E154" s="466"/>
      <c r="F154" s="466"/>
      <c r="G154" s="466"/>
      <c r="H154" s="467"/>
      <c r="I154" s="436">
        <f>I152/I153</f>
        <v>0.75431999999999999</v>
      </c>
      <c r="J154" s="437"/>
    </row>
    <row r="155" spans="1:10" ht="15.75" x14ac:dyDescent="0.25">
      <c r="A155" s="354"/>
      <c r="B155" s="355"/>
      <c r="C155" s="355"/>
      <c r="D155" s="355"/>
      <c r="E155" s="355"/>
      <c r="F155" s="355"/>
      <c r="G155" s="355"/>
      <c r="H155" s="355"/>
      <c r="I155" s="325"/>
      <c r="J155" s="326"/>
    </row>
    <row r="156" spans="1:10" ht="15.75" x14ac:dyDescent="0.25">
      <c r="A156" s="465" t="s">
        <v>66</v>
      </c>
      <c r="B156" s="466"/>
      <c r="C156" s="466"/>
      <c r="D156" s="466"/>
      <c r="E156" s="466"/>
      <c r="F156" s="466"/>
      <c r="G156" s="466"/>
      <c r="H156" s="467"/>
      <c r="I156" s="436">
        <f>I154</f>
        <v>0.75431999999999999</v>
      </c>
      <c r="J156" s="437"/>
    </row>
    <row r="157" spans="1:10" ht="15.75" x14ac:dyDescent="0.25">
      <c r="A157" s="465" t="s">
        <v>99</v>
      </c>
      <c r="B157" s="466"/>
      <c r="C157" s="466"/>
      <c r="D157" s="466"/>
      <c r="E157" s="466"/>
      <c r="F157" s="466"/>
      <c r="G157" s="466"/>
      <c r="H157" s="467"/>
      <c r="I157" s="436">
        <f>I156*0.2654</f>
        <v>0.20019652800000001</v>
      </c>
      <c r="J157" s="437"/>
    </row>
    <row r="158" spans="1:10" ht="15.75" x14ac:dyDescent="0.25">
      <c r="A158" s="465" t="s">
        <v>51</v>
      </c>
      <c r="B158" s="466"/>
      <c r="C158" s="466"/>
      <c r="D158" s="466"/>
      <c r="E158" s="466"/>
      <c r="F158" s="466"/>
      <c r="G158" s="466"/>
      <c r="H158" s="467"/>
      <c r="I158" s="436">
        <f>SUM(I156:J157)</f>
        <v>0.95451652799999998</v>
      </c>
      <c r="J158" s="437"/>
    </row>
    <row r="159" spans="1:10" x14ac:dyDescent="0.25">
      <c r="A159" s="432"/>
      <c r="B159" s="432"/>
      <c r="C159" s="432"/>
      <c r="D159" s="432"/>
      <c r="E159" s="432"/>
      <c r="F159" s="432"/>
      <c r="G159" s="432"/>
      <c r="H159" s="432"/>
      <c r="I159" s="432"/>
      <c r="J159" s="432"/>
    </row>
    <row r="160" spans="1:10" ht="15.75" customHeight="1" x14ac:dyDescent="0.2">
      <c r="A160" s="74" t="s">
        <v>44</v>
      </c>
      <c r="B160" s="433" t="s">
        <v>210</v>
      </c>
      <c r="C160" s="433"/>
      <c r="D160" s="433"/>
      <c r="E160" s="433"/>
      <c r="F160" s="433"/>
      <c r="G160" s="433"/>
      <c r="H160" s="433"/>
      <c r="I160" s="433"/>
      <c r="J160" s="434"/>
    </row>
    <row r="161" spans="1:10" ht="15.75" customHeight="1" x14ac:dyDescent="0.2">
      <c r="A161" s="74" t="s">
        <v>49</v>
      </c>
      <c r="B161" s="468" t="s">
        <v>56</v>
      </c>
      <c r="C161" s="468"/>
      <c r="D161" s="468"/>
      <c r="E161" s="75"/>
      <c r="F161" s="469" t="s">
        <v>174</v>
      </c>
      <c r="G161" s="469"/>
      <c r="H161" s="469"/>
      <c r="I161" s="469"/>
      <c r="J161" s="470"/>
    </row>
    <row r="162" spans="1:10" ht="4.5" customHeight="1" x14ac:dyDescent="0.25">
      <c r="A162" s="324"/>
      <c r="B162" s="325"/>
      <c r="C162" s="325"/>
      <c r="D162" s="325"/>
      <c r="E162" s="325"/>
      <c r="F162" s="325"/>
      <c r="G162" s="325"/>
      <c r="H162" s="325"/>
      <c r="I162" s="325"/>
      <c r="J162" s="326"/>
    </row>
    <row r="163" spans="1:10" ht="15.75" x14ac:dyDescent="0.25">
      <c r="A163" s="471" t="s">
        <v>59</v>
      </c>
      <c r="B163" s="472"/>
      <c r="C163" s="472"/>
      <c r="D163" s="472"/>
      <c r="E163" s="472"/>
      <c r="F163" s="472"/>
      <c r="G163" s="472"/>
      <c r="H163" s="472"/>
      <c r="I163" s="472"/>
      <c r="J163" s="473"/>
    </row>
    <row r="164" spans="1:10" ht="15.75" customHeight="1" x14ac:dyDescent="0.2">
      <c r="A164" s="76" t="s">
        <v>45</v>
      </c>
      <c r="B164" s="77" t="s">
        <v>46</v>
      </c>
      <c r="C164" s="457" t="s">
        <v>26</v>
      </c>
      <c r="D164" s="458"/>
      <c r="E164" s="459"/>
      <c r="F164" s="457" t="s">
        <v>4</v>
      </c>
      <c r="G164" s="459"/>
      <c r="H164" s="78" t="s">
        <v>22</v>
      </c>
      <c r="I164" s="327" t="s">
        <v>55</v>
      </c>
      <c r="J164" s="79" t="s">
        <v>63</v>
      </c>
    </row>
    <row r="165" spans="1:10" ht="15.75" customHeight="1" x14ac:dyDescent="0.2">
      <c r="A165" s="94">
        <v>10139</v>
      </c>
      <c r="B165" s="96" t="s">
        <v>64</v>
      </c>
      <c r="C165" s="460" t="s">
        <v>211</v>
      </c>
      <c r="D165" s="461"/>
      <c r="E165" s="462"/>
      <c r="F165" s="463" t="s">
        <v>67</v>
      </c>
      <c r="G165" s="464"/>
      <c r="H165" s="99">
        <v>0.09</v>
      </c>
      <c r="I165" s="98">
        <v>6.42</v>
      </c>
      <c r="J165" s="81">
        <f>I165*H165</f>
        <v>0.57779999999999998</v>
      </c>
    </row>
    <row r="166" spans="1:10" ht="15.75" customHeight="1" x14ac:dyDescent="0.2">
      <c r="A166" s="48">
        <v>10101</v>
      </c>
      <c r="B166" s="80" t="s">
        <v>64</v>
      </c>
      <c r="C166" s="441" t="s">
        <v>95</v>
      </c>
      <c r="D166" s="442"/>
      <c r="E166" s="443"/>
      <c r="F166" s="444" t="s">
        <v>67</v>
      </c>
      <c r="G166" s="445"/>
      <c r="H166" s="356">
        <v>0.02</v>
      </c>
      <c r="I166" s="83">
        <v>5.42</v>
      </c>
      <c r="J166" s="81">
        <f>I166*H166</f>
        <v>0.1084</v>
      </c>
    </row>
    <row r="167" spans="1:10" ht="15.75" customHeight="1" x14ac:dyDescent="0.2">
      <c r="A167" s="478" t="s">
        <v>185</v>
      </c>
      <c r="B167" s="479"/>
      <c r="C167" s="479"/>
      <c r="D167" s="479"/>
      <c r="E167" s="479"/>
      <c r="F167" s="479"/>
      <c r="G167" s="479"/>
      <c r="H167" s="479"/>
      <c r="I167" s="480"/>
      <c r="J167" s="82">
        <f>SUM(J165:J166)</f>
        <v>0.68619999999999992</v>
      </c>
    </row>
    <row r="168" spans="1:10" ht="15.75" x14ac:dyDescent="0.25">
      <c r="A168" s="321"/>
      <c r="B168" s="322"/>
      <c r="C168" s="322"/>
      <c r="D168" s="322"/>
      <c r="E168" s="322"/>
      <c r="F168" s="322"/>
      <c r="G168" s="322"/>
      <c r="H168" s="322"/>
      <c r="I168" s="322"/>
      <c r="J168" s="323"/>
    </row>
    <row r="169" spans="1:10" ht="15.75" x14ac:dyDescent="0.25">
      <c r="A169" s="465" t="s">
        <v>60</v>
      </c>
      <c r="B169" s="466"/>
      <c r="C169" s="466"/>
      <c r="D169" s="466"/>
      <c r="E169" s="466"/>
      <c r="F169" s="466"/>
      <c r="G169" s="466"/>
      <c r="H169" s="467"/>
      <c r="I169" s="436">
        <f>J167</f>
        <v>0.68619999999999992</v>
      </c>
      <c r="J169" s="437"/>
    </row>
    <row r="170" spans="1:10" ht="15.75" x14ac:dyDescent="0.25">
      <c r="A170" s="465" t="s">
        <v>61</v>
      </c>
      <c r="B170" s="466"/>
      <c r="C170" s="466"/>
      <c r="D170" s="466"/>
      <c r="E170" s="466"/>
      <c r="F170" s="466"/>
      <c r="G170" s="466"/>
      <c r="H170" s="467"/>
      <c r="I170" s="436">
        <v>1</v>
      </c>
      <c r="J170" s="437"/>
    </row>
    <row r="171" spans="1:10" ht="15.75" x14ac:dyDescent="0.25">
      <c r="A171" s="465" t="s">
        <v>62</v>
      </c>
      <c r="B171" s="466"/>
      <c r="C171" s="466"/>
      <c r="D171" s="466"/>
      <c r="E171" s="466"/>
      <c r="F171" s="466"/>
      <c r="G171" s="466"/>
      <c r="H171" s="467"/>
      <c r="I171" s="436">
        <f>I169/I170</f>
        <v>0.68619999999999992</v>
      </c>
      <c r="J171" s="437"/>
    </row>
    <row r="172" spans="1:10" ht="15.75" x14ac:dyDescent="0.25">
      <c r="A172" s="354"/>
      <c r="B172" s="355"/>
      <c r="C172" s="355"/>
      <c r="D172" s="355"/>
      <c r="E172" s="355"/>
      <c r="F172" s="355"/>
      <c r="G172" s="355"/>
      <c r="H172" s="355"/>
      <c r="I172" s="325"/>
      <c r="J172" s="326"/>
    </row>
    <row r="173" spans="1:10" ht="15.75" x14ac:dyDescent="0.25">
      <c r="A173" s="465" t="s">
        <v>66</v>
      </c>
      <c r="B173" s="466"/>
      <c r="C173" s="466"/>
      <c r="D173" s="466"/>
      <c r="E173" s="466"/>
      <c r="F173" s="466"/>
      <c r="G173" s="466"/>
      <c r="H173" s="467"/>
      <c r="I173" s="436">
        <f>I171</f>
        <v>0.68619999999999992</v>
      </c>
      <c r="J173" s="437"/>
    </row>
    <row r="174" spans="1:10" ht="15.75" x14ac:dyDescent="0.25">
      <c r="A174" s="465" t="s">
        <v>99</v>
      </c>
      <c r="B174" s="466"/>
      <c r="C174" s="466"/>
      <c r="D174" s="466"/>
      <c r="E174" s="466"/>
      <c r="F174" s="466"/>
      <c r="G174" s="466"/>
      <c r="H174" s="467"/>
      <c r="I174" s="436">
        <f>I173*0.2654</f>
        <v>0.18211748</v>
      </c>
      <c r="J174" s="437"/>
    </row>
    <row r="175" spans="1:10" ht="15.75" x14ac:dyDescent="0.25">
      <c r="A175" s="465" t="s">
        <v>51</v>
      </c>
      <c r="B175" s="466"/>
      <c r="C175" s="466"/>
      <c r="D175" s="466"/>
      <c r="E175" s="466"/>
      <c r="F175" s="466"/>
      <c r="G175" s="466"/>
      <c r="H175" s="467"/>
      <c r="I175" s="436">
        <f>SUM(I173:J174)</f>
        <v>0.86831747999999997</v>
      </c>
      <c r="J175" s="437"/>
    </row>
    <row r="176" spans="1:10" x14ac:dyDescent="0.25">
      <c r="A176" s="432"/>
      <c r="B176" s="432"/>
      <c r="C176" s="432"/>
      <c r="D176" s="432"/>
      <c r="E176" s="432"/>
      <c r="F176" s="432"/>
      <c r="G176" s="432"/>
      <c r="H176" s="432"/>
      <c r="I176" s="432"/>
      <c r="J176" s="432"/>
    </row>
    <row r="177" spans="1:10" ht="15.75" customHeight="1" x14ac:dyDescent="0.2">
      <c r="A177" s="74" t="s">
        <v>44</v>
      </c>
      <c r="B177" s="433" t="s">
        <v>422</v>
      </c>
      <c r="C177" s="433"/>
      <c r="D177" s="433"/>
      <c r="E177" s="433"/>
      <c r="F177" s="433"/>
      <c r="G177" s="433"/>
      <c r="H177" s="433"/>
      <c r="I177" s="433"/>
      <c r="J177" s="434"/>
    </row>
    <row r="178" spans="1:10" ht="15.75" customHeight="1" x14ac:dyDescent="0.2">
      <c r="A178" s="74" t="s">
        <v>49</v>
      </c>
      <c r="B178" s="468" t="s">
        <v>52</v>
      </c>
      <c r="C178" s="468"/>
      <c r="D178" s="468"/>
      <c r="E178" s="75"/>
      <c r="F178" s="469" t="s">
        <v>178</v>
      </c>
      <c r="G178" s="469"/>
      <c r="H178" s="469"/>
      <c r="I178" s="469"/>
      <c r="J178" s="470"/>
    </row>
    <row r="179" spans="1:10" ht="4.5" customHeight="1" x14ac:dyDescent="0.25">
      <c r="A179" s="324"/>
      <c r="B179" s="325"/>
      <c r="C179" s="325"/>
      <c r="D179" s="325"/>
      <c r="E179" s="325"/>
      <c r="F179" s="325"/>
      <c r="G179" s="325"/>
      <c r="H179" s="325"/>
      <c r="I179" s="325"/>
      <c r="J179" s="326"/>
    </row>
    <row r="180" spans="1:10" ht="15.75" x14ac:dyDescent="0.25">
      <c r="A180" s="471" t="s">
        <v>59</v>
      </c>
      <c r="B180" s="472"/>
      <c r="C180" s="472"/>
      <c r="D180" s="472"/>
      <c r="E180" s="472"/>
      <c r="F180" s="472"/>
      <c r="G180" s="472"/>
      <c r="H180" s="472"/>
      <c r="I180" s="472"/>
      <c r="J180" s="473"/>
    </row>
    <row r="181" spans="1:10" ht="15.75" customHeight="1" x14ac:dyDescent="0.2">
      <c r="A181" s="76" t="s">
        <v>45</v>
      </c>
      <c r="B181" s="77" t="s">
        <v>46</v>
      </c>
      <c r="C181" s="457" t="s">
        <v>26</v>
      </c>
      <c r="D181" s="458"/>
      <c r="E181" s="459"/>
      <c r="F181" s="457" t="s">
        <v>4</v>
      </c>
      <c r="G181" s="459"/>
      <c r="H181" s="78" t="s">
        <v>22</v>
      </c>
      <c r="I181" s="327" t="s">
        <v>55</v>
      </c>
      <c r="J181" s="79" t="s">
        <v>63</v>
      </c>
    </row>
    <row r="182" spans="1:10" ht="15.75" customHeight="1" x14ac:dyDescent="0.2">
      <c r="A182" s="94">
        <v>10139</v>
      </c>
      <c r="B182" s="96" t="s">
        <v>64</v>
      </c>
      <c r="C182" s="460" t="s">
        <v>211</v>
      </c>
      <c r="D182" s="461"/>
      <c r="E182" s="462"/>
      <c r="F182" s="463" t="s">
        <v>67</v>
      </c>
      <c r="G182" s="464"/>
      <c r="H182" s="99">
        <v>0.5</v>
      </c>
      <c r="I182" s="98">
        <v>6.42</v>
      </c>
      <c r="J182" s="81">
        <f>I182*H182</f>
        <v>3.21</v>
      </c>
    </row>
    <row r="183" spans="1:10" ht="15.75" customHeight="1" x14ac:dyDescent="0.2">
      <c r="A183" s="48">
        <v>10101</v>
      </c>
      <c r="B183" s="80" t="s">
        <v>64</v>
      </c>
      <c r="C183" s="441" t="s">
        <v>95</v>
      </c>
      <c r="D183" s="442"/>
      <c r="E183" s="443"/>
      <c r="F183" s="444" t="s">
        <v>67</v>
      </c>
      <c r="G183" s="445"/>
      <c r="H183" s="356">
        <v>0.2</v>
      </c>
      <c r="I183" s="83">
        <v>5.42</v>
      </c>
      <c r="J183" s="81">
        <f>I183*H183</f>
        <v>1.0840000000000001</v>
      </c>
    </row>
    <row r="184" spans="1:10" ht="15.75" customHeight="1" x14ac:dyDescent="0.2">
      <c r="A184" s="478" t="s">
        <v>185</v>
      </c>
      <c r="B184" s="479"/>
      <c r="C184" s="479"/>
      <c r="D184" s="479"/>
      <c r="E184" s="479"/>
      <c r="F184" s="479"/>
      <c r="G184" s="479"/>
      <c r="H184" s="479"/>
      <c r="I184" s="480"/>
      <c r="J184" s="82">
        <f>SUM(J182:J183)</f>
        <v>4.2940000000000005</v>
      </c>
    </row>
    <row r="185" spans="1:10" ht="15.75" x14ac:dyDescent="0.2">
      <c r="A185" s="100"/>
      <c r="B185" s="101"/>
      <c r="C185" s="101"/>
      <c r="D185" s="101"/>
      <c r="E185" s="101"/>
      <c r="F185" s="101"/>
      <c r="G185" s="101"/>
      <c r="H185" s="101"/>
      <c r="I185" s="101"/>
      <c r="J185" s="102"/>
    </row>
    <row r="186" spans="1:10" ht="15.75" x14ac:dyDescent="0.25">
      <c r="A186" s="471" t="s">
        <v>65</v>
      </c>
      <c r="B186" s="472"/>
      <c r="C186" s="472"/>
      <c r="D186" s="472"/>
      <c r="E186" s="472"/>
      <c r="F186" s="472"/>
      <c r="G186" s="472"/>
      <c r="H186" s="472"/>
      <c r="I186" s="472"/>
      <c r="J186" s="473"/>
    </row>
    <row r="187" spans="1:10" ht="15.75" customHeight="1" x14ac:dyDescent="0.2">
      <c r="A187" s="76" t="s">
        <v>45</v>
      </c>
      <c r="B187" s="77" t="s">
        <v>46</v>
      </c>
      <c r="C187" s="457" t="s">
        <v>26</v>
      </c>
      <c r="D187" s="458"/>
      <c r="E187" s="459"/>
      <c r="F187" s="327" t="s">
        <v>4</v>
      </c>
      <c r="G187" s="327"/>
      <c r="H187" s="78" t="s">
        <v>22</v>
      </c>
      <c r="I187" s="327" t="s">
        <v>55</v>
      </c>
      <c r="J187" s="79" t="s">
        <v>63</v>
      </c>
    </row>
    <row r="188" spans="1:10" ht="15.75" x14ac:dyDescent="0.25">
      <c r="A188" s="103">
        <v>38120</v>
      </c>
      <c r="B188" s="103" t="s">
        <v>75</v>
      </c>
      <c r="C188" s="483" t="s">
        <v>214</v>
      </c>
      <c r="D188" s="484"/>
      <c r="E188" s="485"/>
      <c r="F188" s="328" t="s">
        <v>171</v>
      </c>
      <c r="G188" s="329"/>
      <c r="H188" s="108">
        <v>0.21</v>
      </c>
      <c r="I188" s="104">
        <v>59.06</v>
      </c>
      <c r="J188" s="105">
        <f>I188*H188</f>
        <v>12.4026</v>
      </c>
    </row>
    <row r="189" spans="1:10" ht="15.75" x14ac:dyDescent="0.2">
      <c r="A189" s="478" t="s">
        <v>48</v>
      </c>
      <c r="B189" s="479"/>
      <c r="C189" s="479"/>
      <c r="D189" s="479"/>
      <c r="E189" s="479"/>
      <c r="F189" s="479"/>
      <c r="G189" s="479"/>
      <c r="H189" s="479"/>
      <c r="I189" s="480"/>
      <c r="J189" s="106">
        <f>SUM(J188:J188)</f>
        <v>12.4026</v>
      </c>
    </row>
    <row r="190" spans="1:10" ht="15.75" x14ac:dyDescent="0.25">
      <c r="A190" s="321"/>
      <c r="B190" s="322"/>
      <c r="C190" s="322"/>
      <c r="D190" s="322"/>
      <c r="E190" s="322"/>
      <c r="F190" s="322"/>
      <c r="G190" s="322"/>
      <c r="H190" s="322"/>
      <c r="I190" s="322"/>
      <c r="J190" s="323"/>
    </row>
    <row r="191" spans="1:10" ht="15.75" x14ac:dyDescent="0.25">
      <c r="A191" s="465" t="s">
        <v>60</v>
      </c>
      <c r="B191" s="466"/>
      <c r="C191" s="466"/>
      <c r="D191" s="466"/>
      <c r="E191" s="466"/>
      <c r="F191" s="466"/>
      <c r="G191" s="466"/>
      <c r="H191" s="467"/>
      <c r="I191" s="436">
        <f>SUM(J184+J189)</f>
        <v>16.6966</v>
      </c>
      <c r="J191" s="437"/>
    </row>
    <row r="192" spans="1:10" ht="15.75" x14ac:dyDescent="0.25">
      <c r="A192" s="465" t="s">
        <v>61</v>
      </c>
      <c r="B192" s="466"/>
      <c r="C192" s="466"/>
      <c r="D192" s="466"/>
      <c r="E192" s="466"/>
      <c r="F192" s="466"/>
      <c r="G192" s="466"/>
      <c r="H192" s="467"/>
      <c r="I192" s="436">
        <v>1</v>
      </c>
      <c r="J192" s="437"/>
    </row>
    <row r="193" spans="1:10" ht="15.75" x14ac:dyDescent="0.25">
      <c r="A193" s="465" t="s">
        <v>62</v>
      </c>
      <c r="B193" s="466"/>
      <c r="C193" s="466"/>
      <c r="D193" s="466"/>
      <c r="E193" s="466"/>
      <c r="F193" s="466"/>
      <c r="G193" s="466"/>
      <c r="H193" s="467"/>
      <c r="I193" s="436">
        <f>I191/I192</f>
        <v>16.6966</v>
      </c>
      <c r="J193" s="437"/>
    </row>
    <row r="194" spans="1:10" ht="15.75" x14ac:dyDescent="0.25">
      <c r="A194" s="324"/>
      <c r="B194" s="325"/>
      <c r="C194" s="325"/>
      <c r="D194" s="325"/>
      <c r="E194" s="325"/>
      <c r="F194" s="325"/>
      <c r="G194" s="325"/>
      <c r="H194" s="325"/>
      <c r="I194" s="325"/>
      <c r="J194" s="326"/>
    </row>
    <row r="195" spans="1:10" ht="15.75" customHeight="1" x14ac:dyDescent="0.25">
      <c r="A195" s="465" t="s">
        <v>66</v>
      </c>
      <c r="B195" s="466"/>
      <c r="C195" s="466"/>
      <c r="D195" s="466"/>
      <c r="E195" s="466"/>
      <c r="F195" s="466"/>
      <c r="G195" s="466"/>
      <c r="H195" s="467"/>
      <c r="I195" s="436">
        <f>I193</f>
        <v>16.6966</v>
      </c>
      <c r="J195" s="437"/>
    </row>
    <row r="196" spans="1:10" ht="15.75" x14ac:dyDescent="0.25">
      <c r="A196" s="465" t="s">
        <v>99</v>
      </c>
      <c r="B196" s="466"/>
      <c r="C196" s="466"/>
      <c r="D196" s="466"/>
      <c r="E196" s="466"/>
      <c r="F196" s="466"/>
      <c r="G196" s="466"/>
      <c r="H196" s="467"/>
      <c r="I196" s="436">
        <f>I195*0.2654</f>
        <v>4.4312776400000002</v>
      </c>
      <c r="J196" s="437"/>
    </row>
    <row r="197" spans="1:10" ht="15.75" x14ac:dyDescent="0.25">
      <c r="A197" s="465" t="s">
        <v>51</v>
      </c>
      <c r="B197" s="466"/>
      <c r="C197" s="466"/>
      <c r="D197" s="466"/>
      <c r="E197" s="466"/>
      <c r="F197" s="466"/>
      <c r="G197" s="466"/>
      <c r="H197" s="467"/>
      <c r="I197" s="436">
        <f>SUM(I195:J196)</f>
        <v>21.127877640000001</v>
      </c>
      <c r="J197" s="437"/>
    </row>
    <row r="198" spans="1:10" x14ac:dyDescent="0.25">
      <c r="A198" s="432"/>
      <c r="B198" s="432"/>
      <c r="C198" s="432"/>
      <c r="D198" s="432"/>
      <c r="E198" s="432"/>
      <c r="F198" s="432"/>
      <c r="G198" s="432"/>
      <c r="H198" s="432"/>
      <c r="I198" s="432"/>
      <c r="J198" s="432"/>
    </row>
    <row r="199" spans="1:10" ht="36" customHeight="1" x14ac:dyDescent="0.2">
      <c r="A199" s="74" t="s">
        <v>44</v>
      </c>
      <c r="B199" s="433" t="s">
        <v>225</v>
      </c>
      <c r="C199" s="433"/>
      <c r="D199" s="433"/>
      <c r="E199" s="433"/>
      <c r="F199" s="433"/>
      <c r="G199" s="433"/>
      <c r="H199" s="433"/>
      <c r="I199" s="433"/>
      <c r="J199" s="434"/>
    </row>
    <row r="200" spans="1:10" ht="15.75" customHeight="1" x14ac:dyDescent="0.2">
      <c r="A200" s="74" t="s">
        <v>49</v>
      </c>
      <c r="B200" s="468" t="s">
        <v>56</v>
      </c>
      <c r="C200" s="468"/>
      <c r="D200" s="468"/>
      <c r="E200" s="75"/>
      <c r="F200" s="469" t="s">
        <v>179</v>
      </c>
      <c r="G200" s="469"/>
      <c r="H200" s="469"/>
      <c r="I200" s="469"/>
      <c r="J200" s="470"/>
    </row>
    <row r="201" spans="1:10" ht="4.5" customHeight="1" x14ac:dyDescent="0.25">
      <c r="A201" s="324"/>
      <c r="B201" s="325"/>
      <c r="C201" s="325"/>
      <c r="D201" s="325"/>
      <c r="E201" s="325"/>
      <c r="F201" s="325"/>
      <c r="G201" s="325"/>
      <c r="H201" s="325"/>
      <c r="I201" s="325"/>
      <c r="J201" s="326"/>
    </row>
    <row r="202" spans="1:10" ht="15.75" x14ac:dyDescent="0.25">
      <c r="A202" s="471" t="s">
        <v>59</v>
      </c>
      <c r="B202" s="472"/>
      <c r="C202" s="472"/>
      <c r="D202" s="472"/>
      <c r="E202" s="472"/>
      <c r="F202" s="472"/>
      <c r="G202" s="472"/>
      <c r="H202" s="472"/>
      <c r="I202" s="472"/>
      <c r="J202" s="473"/>
    </row>
    <row r="203" spans="1:10" ht="15.75" customHeight="1" x14ac:dyDescent="0.2">
      <c r="A203" s="76" t="s">
        <v>45</v>
      </c>
      <c r="B203" s="77" t="s">
        <v>46</v>
      </c>
      <c r="C203" s="457" t="s">
        <v>26</v>
      </c>
      <c r="D203" s="458"/>
      <c r="E203" s="459"/>
      <c r="F203" s="457" t="s">
        <v>4</v>
      </c>
      <c r="G203" s="459"/>
      <c r="H203" s="78" t="s">
        <v>22</v>
      </c>
      <c r="I203" s="327" t="s">
        <v>55</v>
      </c>
      <c r="J203" s="79" t="s">
        <v>63</v>
      </c>
    </row>
    <row r="204" spans="1:10" ht="16.5" customHeight="1" x14ac:dyDescent="0.2">
      <c r="A204" s="94">
        <v>10101</v>
      </c>
      <c r="B204" s="96" t="s">
        <v>64</v>
      </c>
      <c r="C204" s="460" t="s">
        <v>95</v>
      </c>
      <c r="D204" s="461"/>
      <c r="E204" s="462"/>
      <c r="F204" s="463" t="s">
        <v>67</v>
      </c>
      <c r="G204" s="464"/>
      <c r="H204" s="99">
        <v>3.5</v>
      </c>
      <c r="I204" s="98">
        <v>5.42</v>
      </c>
      <c r="J204" s="81">
        <f>I204*H204</f>
        <v>18.97</v>
      </c>
    </row>
    <row r="205" spans="1:10" ht="15.75" customHeight="1" x14ac:dyDescent="0.2">
      <c r="A205" s="48">
        <v>10115</v>
      </c>
      <c r="B205" s="80" t="s">
        <v>64</v>
      </c>
      <c r="C205" s="441" t="s">
        <v>143</v>
      </c>
      <c r="D205" s="442"/>
      <c r="E205" s="443"/>
      <c r="F205" s="444" t="s">
        <v>67</v>
      </c>
      <c r="G205" s="445"/>
      <c r="H205" s="99">
        <v>3.5</v>
      </c>
      <c r="I205" s="83">
        <v>6.42</v>
      </c>
      <c r="J205" s="81">
        <f>I205*H205</f>
        <v>22.47</v>
      </c>
    </row>
    <row r="206" spans="1:10" ht="15.75" x14ac:dyDescent="0.2">
      <c r="A206" s="478" t="s">
        <v>185</v>
      </c>
      <c r="B206" s="479"/>
      <c r="C206" s="479"/>
      <c r="D206" s="479"/>
      <c r="E206" s="479"/>
      <c r="F206" s="479"/>
      <c r="G206" s="479"/>
      <c r="H206" s="479"/>
      <c r="I206" s="480"/>
      <c r="J206" s="82">
        <f>SUM(J204:J205)</f>
        <v>41.44</v>
      </c>
    </row>
    <row r="207" spans="1:10" ht="15.75" x14ac:dyDescent="0.2">
      <c r="A207" s="100"/>
      <c r="B207" s="101"/>
      <c r="C207" s="101"/>
      <c r="D207" s="101"/>
      <c r="E207" s="101"/>
      <c r="F207" s="101"/>
      <c r="G207" s="101"/>
      <c r="H207" s="101"/>
      <c r="I207" s="101"/>
      <c r="J207" s="102"/>
    </row>
    <row r="208" spans="1:10" ht="15.75" x14ac:dyDescent="0.25">
      <c r="A208" s="471" t="s">
        <v>65</v>
      </c>
      <c r="B208" s="472"/>
      <c r="C208" s="472"/>
      <c r="D208" s="472"/>
      <c r="E208" s="472"/>
      <c r="F208" s="472"/>
      <c r="G208" s="472"/>
      <c r="H208" s="472"/>
      <c r="I208" s="472"/>
      <c r="J208" s="473"/>
    </row>
    <row r="209" spans="1:10" ht="15.75" customHeight="1" x14ac:dyDescent="0.2">
      <c r="A209" s="76" t="s">
        <v>45</v>
      </c>
      <c r="B209" s="77" t="s">
        <v>46</v>
      </c>
      <c r="C209" s="457" t="s">
        <v>26</v>
      </c>
      <c r="D209" s="458"/>
      <c r="E209" s="459"/>
      <c r="F209" s="457" t="s">
        <v>4</v>
      </c>
      <c r="G209" s="459"/>
      <c r="H209" s="78" t="s">
        <v>22</v>
      </c>
      <c r="I209" s="327" t="s">
        <v>55</v>
      </c>
      <c r="J209" s="79" t="s">
        <v>63</v>
      </c>
    </row>
    <row r="210" spans="1:10" ht="15.75" x14ac:dyDescent="0.25">
      <c r="A210" s="103">
        <v>48516</v>
      </c>
      <c r="B210" s="103" t="s">
        <v>64</v>
      </c>
      <c r="C210" s="483" t="s">
        <v>220</v>
      </c>
      <c r="D210" s="484"/>
      <c r="E210" s="485"/>
      <c r="F210" s="486" t="s">
        <v>56</v>
      </c>
      <c r="G210" s="487"/>
      <c r="H210" s="104">
        <v>2</v>
      </c>
      <c r="I210" s="104">
        <v>0.32</v>
      </c>
      <c r="J210" s="105">
        <f>I210*H210</f>
        <v>0.64</v>
      </c>
    </row>
    <row r="211" spans="1:10" ht="15.75" x14ac:dyDescent="0.25">
      <c r="A211" s="103">
        <v>48502</v>
      </c>
      <c r="B211" s="103" t="s">
        <v>64</v>
      </c>
      <c r="C211" s="483" t="s">
        <v>221</v>
      </c>
      <c r="D211" s="484"/>
      <c r="E211" s="485"/>
      <c r="F211" s="486" t="s">
        <v>56</v>
      </c>
      <c r="G211" s="487"/>
      <c r="H211" s="104">
        <v>2</v>
      </c>
      <c r="I211" s="104">
        <v>0.53</v>
      </c>
      <c r="J211" s="105">
        <f t="shared" ref="J211:J214" si="2">I211*H211</f>
        <v>1.06</v>
      </c>
    </row>
    <row r="212" spans="1:10" ht="15.75" x14ac:dyDescent="0.25">
      <c r="A212" s="103">
        <v>43006</v>
      </c>
      <c r="B212" s="103" t="s">
        <v>64</v>
      </c>
      <c r="C212" s="483" t="s">
        <v>224</v>
      </c>
      <c r="D212" s="484"/>
      <c r="E212" s="485"/>
      <c r="F212" s="486" t="s">
        <v>52</v>
      </c>
      <c r="G212" s="487"/>
      <c r="H212" s="108">
        <v>12</v>
      </c>
      <c r="I212" s="104">
        <v>1.61</v>
      </c>
      <c r="J212" s="105">
        <f t="shared" si="2"/>
        <v>19.32</v>
      </c>
    </row>
    <row r="213" spans="1:10" ht="15.75" x14ac:dyDescent="0.25">
      <c r="A213" s="103">
        <v>45017</v>
      </c>
      <c r="B213" s="103" t="s">
        <v>64</v>
      </c>
      <c r="C213" s="483" t="s">
        <v>226</v>
      </c>
      <c r="D213" s="484"/>
      <c r="E213" s="485"/>
      <c r="F213" s="486" t="s">
        <v>56</v>
      </c>
      <c r="G213" s="487"/>
      <c r="H213" s="108">
        <v>1</v>
      </c>
      <c r="I213" s="104">
        <v>1.77</v>
      </c>
      <c r="J213" s="105">
        <f t="shared" si="2"/>
        <v>1.77</v>
      </c>
    </row>
    <row r="214" spans="1:10" ht="15.75" x14ac:dyDescent="0.25">
      <c r="A214" s="103">
        <v>42565</v>
      </c>
      <c r="B214" s="103" t="s">
        <v>64</v>
      </c>
      <c r="C214" s="483" t="s">
        <v>223</v>
      </c>
      <c r="D214" s="484"/>
      <c r="E214" s="485"/>
      <c r="F214" s="486" t="s">
        <v>52</v>
      </c>
      <c r="G214" s="487"/>
      <c r="H214" s="104">
        <v>6.6</v>
      </c>
      <c r="I214" s="104">
        <v>1.53</v>
      </c>
      <c r="J214" s="105">
        <f t="shared" si="2"/>
        <v>10.097999999999999</v>
      </c>
    </row>
    <row r="215" spans="1:10" ht="15.75" x14ac:dyDescent="0.2">
      <c r="A215" s="478" t="s">
        <v>48</v>
      </c>
      <c r="B215" s="479"/>
      <c r="C215" s="479"/>
      <c r="D215" s="479"/>
      <c r="E215" s="479"/>
      <c r="F215" s="479"/>
      <c r="G215" s="479"/>
      <c r="H215" s="479"/>
      <c r="I215" s="480"/>
      <c r="J215" s="357">
        <f>SUM(J210:J214)</f>
        <v>32.887999999999998</v>
      </c>
    </row>
    <row r="216" spans="1:10" ht="15.75" x14ac:dyDescent="0.25">
      <c r="A216" s="321"/>
      <c r="B216" s="322"/>
      <c r="C216" s="322"/>
      <c r="D216" s="322"/>
      <c r="E216" s="322"/>
      <c r="F216" s="322"/>
      <c r="G216" s="322"/>
      <c r="H216" s="322"/>
      <c r="I216" s="322"/>
      <c r="J216" s="323"/>
    </row>
    <row r="217" spans="1:10" ht="15.75" customHeight="1" x14ac:dyDescent="0.25">
      <c r="A217" s="465" t="s">
        <v>60</v>
      </c>
      <c r="B217" s="466"/>
      <c r="C217" s="466"/>
      <c r="D217" s="466"/>
      <c r="E217" s="466"/>
      <c r="F217" s="466"/>
      <c r="G217" s="466"/>
      <c r="H217" s="467"/>
      <c r="I217" s="436">
        <f>SUM(J206+J215)</f>
        <v>74.328000000000003</v>
      </c>
      <c r="J217" s="437"/>
    </row>
    <row r="218" spans="1:10" ht="15.75" x14ac:dyDescent="0.25">
      <c r="A218" s="465" t="s">
        <v>61</v>
      </c>
      <c r="B218" s="466"/>
      <c r="C218" s="466"/>
      <c r="D218" s="466"/>
      <c r="E218" s="466"/>
      <c r="F218" s="466"/>
      <c r="G218" s="466"/>
      <c r="H218" s="467"/>
      <c r="I218" s="436">
        <v>1</v>
      </c>
      <c r="J218" s="437"/>
    </row>
    <row r="219" spans="1:10" ht="15.75" x14ac:dyDescent="0.25">
      <c r="A219" s="465" t="s">
        <v>62</v>
      </c>
      <c r="B219" s="466"/>
      <c r="C219" s="466"/>
      <c r="D219" s="466"/>
      <c r="E219" s="466"/>
      <c r="F219" s="466"/>
      <c r="G219" s="466"/>
      <c r="H219" s="467"/>
      <c r="I219" s="436">
        <f>I217/I218</f>
        <v>74.328000000000003</v>
      </c>
      <c r="J219" s="437"/>
    </row>
    <row r="220" spans="1:10" ht="15.75" x14ac:dyDescent="0.25">
      <c r="A220" s="354"/>
      <c r="B220" s="355"/>
      <c r="C220" s="355"/>
      <c r="D220" s="355"/>
      <c r="E220" s="355"/>
      <c r="F220" s="355"/>
      <c r="G220" s="355"/>
      <c r="H220" s="355"/>
      <c r="I220" s="325"/>
      <c r="J220" s="326"/>
    </row>
    <row r="221" spans="1:10" ht="15.75" customHeight="1" x14ac:dyDescent="0.25">
      <c r="A221" s="465" t="s">
        <v>66</v>
      </c>
      <c r="B221" s="466"/>
      <c r="C221" s="466"/>
      <c r="D221" s="466"/>
      <c r="E221" s="466"/>
      <c r="F221" s="466"/>
      <c r="G221" s="466"/>
      <c r="H221" s="467"/>
      <c r="I221" s="436">
        <f>I219</f>
        <v>74.328000000000003</v>
      </c>
      <c r="J221" s="437"/>
    </row>
    <row r="222" spans="1:10" ht="15.75" customHeight="1" x14ac:dyDescent="0.25">
      <c r="A222" s="465" t="s">
        <v>99</v>
      </c>
      <c r="B222" s="466"/>
      <c r="C222" s="466"/>
      <c r="D222" s="466"/>
      <c r="E222" s="466"/>
      <c r="F222" s="466"/>
      <c r="G222" s="466"/>
      <c r="H222" s="467"/>
      <c r="I222" s="436">
        <f>I221*0.2654</f>
        <v>19.726651200000003</v>
      </c>
      <c r="J222" s="437"/>
    </row>
    <row r="223" spans="1:10" ht="15.75" customHeight="1" x14ac:dyDescent="0.25">
      <c r="A223" s="465" t="s">
        <v>51</v>
      </c>
      <c r="B223" s="466"/>
      <c r="C223" s="466"/>
      <c r="D223" s="466"/>
      <c r="E223" s="466"/>
      <c r="F223" s="466"/>
      <c r="G223" s="466"/>
      <c r="H223" s="467"/>
      <c r="I223" s="436">
        <f>SUM(I221:J222)</f>
        <v>94.054651200000009</v>
      </c>
      <c r="J223" s="437"/>
    </row>
    <row r="224" spans="1:10" ht="15.75" customHeight="1" x14ac:dyDescent="0.25">
      <c r="A224" s="644"/>
      <c r="B224" s="644"/>
      <c r="C224" s="644"/>
      <c r="D224" s="644"/>
      <c r="E224" s="644"/>
      <c r="F224" s="644"/>
      <c r="G224" s="644"/>
      <c r="H224" s="644"/>
      <c r="I224" s="644"/>
      <c r="J224" s="644"/>
    </row>
    <row r="225" spans="1:10" ht="36" customHeight="1" x14ac:dyDescent="0.2">
      <c r="A225" s="74" t="s">
        <v>44</v>
      </c>
      <c r="B225" s="433" t="s">
        <v>234</v>
      </c>
      <c r="C225" s="433"/>
      <c r="D225" s="433"/>
      <c r="E225" s="433"/>
      <c r="F225" s="433"/>
      <c r="G225" s="433"/>
      <c r="H225" s="433"/>
      <c r="I225" s="433"/>
      <c r="J225" s="434"/>
    </row>
    <row r="226" spans="1:10" ht="15.75" customHeight="1" x14ac:dyDescent="0.2">
      <c r="A226" s="74" t="s">
        <v>49</v>
      </c>
      <c r="B226" s="468" t="s">
        <v>56</v>
      </c>
      <c r="C226" s="468"/>
      <c r="D226" s="468"/>
      <c r="E226" s="75"/>
      <c r="F226" s="469" t="s">
        <v>205</v>
      </c>
      <c r="G226" s="469"/>
      <c r="H226" s="469"/>
      <c r="I226" s="469"/>
      <c r="J226" s="470"/>
    </row>
    <row r="227" spans="1:10" ht="4.5" customHeight="1" x14ac:dyDescent="0.25">
      <c r="A227" s="324"/>
      <c r="B227" s="325"/>
      <c r="C227" s="325"/>
      <c r="D227" s="325"/>
      <c r="E227" s="325"/>
      <c r="F227" s="325"/>
      <c r="G227" s="325"/>
      <c r="H227" s="325"/>
      <c r="I227" s="325"/>
      <c r="J227" s="326"/>
    </row>
    <row r="228" spans="1:10" ht="15.75" customHeight="1" x14ac:dyDescent="0.25">
      <c r="A228" s="471" t="s">
        <v>59</v>
      </c>
      <c r="B228" s="472"/>
      <c r="C228" s="472"/>
      <c r="D228" s="472"/>
      <c r="E228" s="472"/>
      <c r="F228" s="472"/>
      <c r="G228" s="472"/>
      <c r="H228" s="472"/>
      <c r="I228" s="472"/>
      <c r="J228" s="473"/>
    </row>
    <row r="229" spans="1:10" ht="15.75" customHeight="1" x14ac:dyDescent="0.2">
      <c r="A229" s="76" t="s">
        <v>45</v>
      </c>
      <c r="B229" s="77" t="s">
        <v>46</v>
      </c>
      <c r="C229" s="457" t="s">
        <v>26</v>
      </c>
      <c r="D229" s="458"/>
      <c r="E229" s="459"/>
      <c r="F229" s="457" t="s">
        <v>4</v>
      </c>
      <c r="G229" s="459"/>
      <c r="H229" s="78" t="s">
        <v>22</v>
      </c>
      <c r="I229" s="327" t="s">
        <v>55</v>
      </c>
      <c r="J229" s="79" t="s">
        <v>63</v>
      </c>
    </row>
    <row r="230" spans="1:10" ht="15.75" customHeight="1" x14ac:dyDescent="0.2">
      <c r="A230" s="94">
        <v>10101</v>
      </c>
      <c r="B230" s="96" t="s">
        <v>64</v>
      </c>
      <c r="C230" s="460" t="s">
        <v>95</v>
      </c>
      <c r="D230" s="461"/>
      <c r="E230" s="462"/>
      <c r="F230" s="463" t="s">
        <v>67</v>
      </c>
      <c r="G230" s="464"/>
      <c r="H230" s="99">
        <v>3.8</v>
      </c>
      <c r="I230" s="98">
        <v>5.42</v>
      </c>
      <c r="J230" s="81">
        <f>I230*H230</f>
        <v>20.596</v>
      </c>
    </row>
    <row r="231" spans="1:10" ht="15.75" customHeight="1" x14ac:dyDescent="0.2">
      <c r="A231" s="48">
        <v>10115</v>
      </c>
      <c r="B231" s="80" t="s">
        <v>64</v>
      </c>
      <c r="C231" s="441" t="s">
        <v>143</v>
      </c>
      <c r="D231" s="442"/>
      <c r="E231" s="443"/>
      <c r="F231" s="444" t="s">
        <v>67</v>
      </c>
      <c r="G231" s="445"/>
      <c r="H231" s="99">
        <v>3.8</v>
      </c>
      <c r="I231" s="83">
        <v>6.42</v>
      </c>
      <c r="J231" s="81">
        <f>I231*H231</f>
        <v>24.395999999999997</v>
      </c>
    </row>
    <row r="232" spans="1:10" ht="15.75" customHeight="1" x14ac:dyDescent="0.2">
      <c r="A232" s="478" t="s">
        <v>185</v>
      </c>
      <c r="B232" s="479"/>
      <c r="C232" s="479"/>
      <c r="D232" s="479"/>
      <c r="E232" s="479"/>
      <c r="F232" s="479"/>
      <c r="G232" s="479"/>
      <c r="H232" s="479"/>
      <c r="I232" s="480"/>
      <c r="J232" s="82">
        <f>SUM(J230:J231)</f>
        <v>44.991999999999997</v>
      </c>
    </row>
    <row r="233" spans="1:10" ht="15.75" customHeight="1" x14ac:dyDescent="0.2">
      <c r="A233" s="100"/>
      <c r="B233" s="101"/>
      <c r="C233" s="101"/>
      <c r="D233" s="101"/>
      <c r="E233" s="101"/>
      <c r="F233" s="101"/>
      <c r="G233" s="101"/>
      <c r="H233" s="101"/>
      <c r="I233" s="101"/>
      <c r="J233" s="102"/>
    </row>
    <row r="234" spans="1:10" ht="15.75" customHeight="1" x14ac:dyDescent="0.25">
      <c r="A234" s="471" t="s">
        <v>65</v>
      </c>
      <c r="B234" s="472"/>
      <c r="C234" s="472"/>
      <c r="D234" s="472"/>
      <c r="E234" s="472"/>
      <c r="F234" s="472"/>
      <c r="G234" s="472"/>
      <c r="H234" s="472"/>
      <c r="I234" s="472"/>
      <c r="J234" s="473"/>
    </row>
    <row r="235" spans="1:10" ht="15.75" customHeight="1" x14ac:dyDescent="0.2">
      <c r="A235" s="76" t="s">
        <v>45</v>
      </c>
      <c r="B235" s="77" t="s">
        <v>46</v>
      </c>
      <c r="C235" s="457" t="s">
        <v>26</v>
      </c>
      <c r="D235" s="458"/>
      <c r="E235" s="459"/>
      <c r="F235" s="457" t="s">
        <v>4</v>
      </c>
      <c r="G235" s="459"/>
      <c r="H235" s="78" t="s">
        <v>22</v>
      </c>
      <c r="I235" s="327" t="s">
        <v>55</v>
      </c>
      <c r="J235" s="79" t="s">
        <v>63</v>
      </c>
    </row>
    <row r="236" spans="1:10" ht="15.75" x14ac:dyDescent="0.25">
      <c r="A236" s="103">
        <v>48516</v>
      </c>
      <c r="B236" s="103" t="s">
        <v>64</v>
      </c>
      <c r="C236" s="483" t="s">
        <v>220</v>
      </c>
      <c r="D236" s="484"/>
      <c r="E236" s="485"/>
      <c r="F236" s="486" t="s">
        <v>56</v>
      </c>
      <c r="G236" s="487"/>
      <c r="H236" s="104">
        <v>2</v>
      </c>
      <c r="I236" s="104">
        <v>0.32</v>
      </c>
      <c r="J236" s="105">
        <f>I236*H236</f>
        <v>0.64</v>
      </c>
    </row>
    <row r="237" spans="1:10" ht="15.75" x14ac:dyDescent="0.25">
      <c r="A237" s="103">
        <v>48502</v>
      </c>
      <c r="B237" s="103" t="s">
        <v>64</v>
      </c>
      <c r="C237" s="483" t="s">
        <v>221</v>
      </c>
      <c r="D237" s="484"/>
      <c r="E237" s="485"/>
      <c r="F237" s="486" t="s">
        <v>56</v>
      </c>
      <c r="G237" s="487"/>
      <c r="H237" s="104">
        <v>2</v>
      </c>
      <c r="I237" s="104">
        <v>0.53</v>
      </c>
      <c r="J237" s="105">
        <f t="shared" ref="J237:J240" si="3">I237*H237</f>
        <v>1.06</v>
      </c>
    </row>
    <row r="238" spans="1:10" ht="15.75" x14ac:dyDescent="0.25">
      <c r="A238" s="103">
        <v>43005</v>
      </c>
      <c r="B238" s="103" t="s">
        <v>64</v>
      </c>
      <c r="C238" s="483" t="s">
        <v>222</v>
      </c>
      <c r="D238" s="484"/>
      <c r="E238" s="485"/>
      <c r="F238" s="486" t="s">
        <v>52</v>
      </c>
      <c r="G238" s="487"/>
      <c r="H238" s="108">
        <v>10</v>
      </c>
      <c r="I238" s="104">
        <v>0.97</v>
      </c>
      <c r="J238" s="105">
        <f t="shared" si="3"/>
        <v>9.6999999999999993</v>
      </c>
    </row>
    <row r="239" spans="1:10" ht="15.75" x14ac:dyDescent="0.25">
      <c r="A239" s="103">
        <v>45017</v>
      </c>
      <c r="B239" s="103" t="s">
        <v>64</v>
      </c>
      <c r="C239" s="483" t="s">
        <v>226</v>
      </c>
      <c r="D239" s="484"/>
      <c r="E239" s="485"/>
      <c r="F239" s="486" t="s">
        <v>56</v>
      </c>
      <c r="G239" s="487"/>
      <c r="H239" s="108">
        <v>1</v>
      </c>
      <c r="I239" s="104">
        <v>1.77</v>
      </c>
      <c r="J239" s="105">
        <f t="shared" si="3"/>
        <v>1.77</v>
      </c>
    </row>
    <row r="240" spans="1:10" ht="15.75" x14ac:dyDescent="0.25">
      <c r="A240" s="103">
        <v>42565</v>
      </c>
      <c r="B240" s="103" t="s">
        <v>64</v>
      </c>
      <c r="C240" s="483" t="s">
        <v>223</v>
      </c>
      <c r="D240" s="484"/>
      <c r="E240" s="485"/>
      <c r="F240" s="486" t="s">
        <v>52</v>
      </c>
      <c r="G240" s="487"/>
      <c r="H240" s="104">
        <v>9.35</v>
      </c>
      <c r="I240" s="104">
        <v>1.53</v>
      </c>
      <c r="J240" s="105">
        <f t="shared" si="3"/>
        <v>14.3055</v>
      </c>
    </row>
    <row r="241" spans="1:10" ht="15.75" x14ac:dyDescent="0.2">
      <c r="A241" s="478" t="s">
        <v>48</v>
      </c>
      <c r="B241" s="479"/>
      <c r="C241" s="479"/>
      <c r="D241" s="479"/>
      <c r="E241" s="479"/>
      <c r="F241" s="479"/>
      <c r="G241" s="479"/>
      <c r="H241" s="479"/>
      <c r="I241" s="480"/>
      <c r="J241" s="106">
        <f>SUM(J236:J240)</f>
        <v>27.475499999999997</v>
      </c>
    </row>
    <row r="242" spans="1:10" ht="15.75" x14ac:dyDescent="0.25">
      <c r="A242" s="321"/>
      <c r="B242" s="322"/>
      <c r="C242" s="322"/>
      <c r="D242" s="322"/>
      <c r="E242" s="322"/>
      <c r="F242" s="322"/>
      <c r="G242" s="322"/>
      <c r="H242" s="322"/>
      <c r="I242" s="322"/>
      <c r="J242" s="323"/>
    </row>
    <row r="243" spans="1:10" ht="15.75" customHeight="1" x14ac:dyDescent="0.25">
      <c r="A243" s="465" t="s">
        <v>60</v>
      </c>
      <c r="B243" s="466"/>
      <c r="C243" s="466"/>
      <c r="D243" s="466"/>
      <c r="E243" s="466"/>
      <c r="F243" s="466"/>
      <c r="G243" s="466"/>
      <c r="H243" s="467"/>
      <c r="I243" s="436">
        <f>SUM(J232+J241)</f>
        <v>72.467500000000001</v>
      </c>
      <c r="J243" s="437"/>
    </row>
    <row r="244" spans="1:10" ht="15.75" x14ac:dyDescent="0.25">
      <c r="A244" s="465" t="s">
        <v>61</v>
      </c>
      <c r="B244" s="466"/>
      <c r="C244" s="466"/>
      <c r="D244" s="466"/>
      <c r="E244" s="466"/>
      <c r="F244" s="466"/>
      <c r="G244" s="466"/>
      <c r="H244" s="467"/>
      <c r="I244" s="436">
        <v>1</v>
      </c>
      <c r="J244" s="437"/>
    </row>
    <row r="245" spans="1:10" ht="15.75" x14ac:dyDescent="0.25">
      <c r="A245" s="465" t="s">
        <v>62</v>
      </c>
      <c r="B245" s="466"/>
      <c r="C245" s="466"/>
      <c r="D245" s="466"/>
      <c r="E245" s="466"/>
      <c r="F245" s="466"/>
      <c r="G245" s="466"/>
      <c r="H245" s="467"/>
      <c r="I245" s="436">
        <f>I243/I244</f>
        <v>72.467500000000001</v>
      </c>
      <c r="J245" s="437"/>
    </row>
    <row r="246" spans="1:10" ht="15.75" x14ac:dyDescent="0.25">
      <c r="A246" s="324"/>
      <c r="B246" s="325"/>
      <c r="C246" s="325"/>
      <c r="D246" s="325"/>
      <c r="E246" s="325"/>
      <c r="F246" s="325"/>
      <c r="G246" s="325"/>
      <c r="H246" s="325"/>
      <c r="I246" s="325"/>
      <c r="J246" s="326"/>
    </row>
    <row r="247" spans="1:10" ht="15.75" customHeight="1" x14ac:dyDescent="0.25">
      <c r="A247" s="465" t="s">
        <v>66</v>
      </c>
      <c r="B247" s="466"/>
      <c r="C247" s="466"/>
      <c r="D247" s="466"/>
      <c r="E247" s="466"/>
      <c r="F247" s="466"/>
      <c r="G247" s="466"/>
      <c r="H247" s="467"/>
      <c r="I247" s="436">
        <f>I245</f>
        <v>72.467500000000001</v>
      </c>
      <c r="J247" s="437"/>
    </row>
    <row r="248" spans="1:10" ht="15.75" customHeight="1" x14ac:dyDescent="0.25">
      <c r="A248" s="465" t="s">
        <v>99</v>
      </c>
      <c r="B248" s="466"/>
      <c r="C248" s="466"/>
      <c r="D248" s="466"/>
      <c r="E248" s="466"/>
      <c r="F248" s="466"/>
      <c r="G248" s="466"/>
      <c r="H248" s="467"/>
      <c r="I248" s="436">
        <f>I247*0.2654</f>
        <v>19.232874500000001</v>
      </c>
      <c r="J248" s="437"/>
    </row>
    <row r="249" spans="1:10" ht="15.75" customHeight="1" x14ac:dyDescent="0.25">
      <c r="A249" s="465" t="s">
        <v>51</v>
      </c>
      <c r="B249" s="466"/>
      <c r="C249" s="466"/>
      <c r="D249" s="466"/>
      <c r="E249" s="466"/>
      <c r="F249" s="466"/>
      <c r="G249" s="466"/>
      <c r="H249" s="467"/>
      <c r="I249" s="436">
        <f>SUM(I247:J248)</f>
        <v>91.700374500000009</v>
      </c>
      <c r="J249" s="437"/>
    </row>
    <row r="250" spans="1:10" x14ac:dyDescent="0.25">
      <c r="A250" s="432"/>
      <c r="B250" s="432"/>
      <c r="C250" s="432"/>
      <c r="D250" s="432"/>
      <c r="E250" s="432"/>
      <c r="F250" s="432"/>
      <c r="G250" s="432"/>
      <c r="H250" s="432"/>
      <c r="I250" s="432"/>
      <c r="J250" s="432"/>
    </row>
    <row r="251" spans="1:10" ht="15.75" customHeight="1" x14ac:dyDescent="0.2">
      <c r="A251" s="74" t="s">
        <v>44</v>
      </c>
      <c r="B251" s="433" t="s">
        <v>232</v>
      </c>
      <c r="C251" s="433"/>
      <c r="D251" s="433"/>
      <c r="E251" s="433"/>
      <c r="F251" s="433"/>
      <c r="G251" s="433"/>
      <c r="H251" s="433"/>
      <c r="I251" s="433"/>
      <c r="J251" s="434"/>
    </row>
    <row r="252" spans="1:10" ht="15.75" x14ac:dyDescent="0.2">
      <c r="A252" s="74" t="s">
        <v>49</v>
      </c>
      <c r="B252" s="468" t="s">
        <v>11</v>
      </c>
      <c r="C252" s="468"/>
      <c r="D252" s="468"/>
      <c r="E252" s="75"/>
      <c r="F252" s="469" t="s">
        <v>209</v>
      </c>
      <c r="G252" s="469"/>
      <c r="H252" s="469"/>
      <c r="I252" s="469"/>
      <c r="J252" s="470"/>
    </row>
    <row r="253" spans="1:10" ht="4.5" customHeight="1" x14ac:dyDescent="0.25">
      <c r="A253" s="324"/>
      <c r="B253" s="325"/>
      <c r="C253" s="325"/>
      <c r="D253" s="325"/>
      <c r="E253" s="325"/>
      <c r="F253" s="325"/>
      <c r="G253" s="325"/>
      <c r="H253" s="325"/>
      <c r="I253" s="325"/>
      <c r="J253" s="326"/>
    </row>
    <row r="254" spans="1:10" ht="15.75" x14ac:dyDescent="0.25">
      <c r="A254" s="471" t="s">
        <v>59</v>
      </c>
      <c r="B254" s="472"/>
      <c r="C254" s="472"/>
      <c r="D254" s="472"/>
      <c r="E254" s="472"/>
      <c r="F254" s="472"/>
      <c r="G254" s="472"/>
      <c r="H254" s="472"/>
      <c r="I254" s="472"/>
      <c r="J254" s="473"/>
    </row>
    <row r="255" spans="1:10" ht="15.75" customHeight="1" x14ac:dyDescent="0.2">
      <c r="A255" s="76" t="s">
        <v>45</v>
      </c>
      <c r="B255" s="77" t="s">
        <v>46</v>
      </c>
      <c r="C255" s="457" t="s">
        <v>26</v>
      </c>
      <c r="D255" s="458"/>
      <c r="E255" s="459"/>
      <c r="F255" s="457" t="s">
        <v>4</v>
      </c>
      <c r="G255" s="459"/>
      <c r="H255" s="78" t="s">
        <v>22</v>
      </c>
      <c r="I255" s="327" t="s">
        <v>55</v>
      </c>
      <c r="J255" s="79" t="s">
        <v>63</v>
      </c>
    </row>
    <row r="256" spans="1:10" ht="15.75" customHeight="1" x14ac:dyDescent="0.2">
      <c r="A256" s="94">
        <v>10139</v>
      </c>
      <c r="B256" s="96" t="s">
        <v>64</v>
      </c>
      <c r="C256" s="460" t="s">
        <v>169</v>
      </c>
      <c r="D256" s="461"/>
      <c r="E256" s="462"/>
      <c r="F256" s="463" t="s">
        <v>67</v>
      </c>
      <c r="G256" s="464"/>
      <c r="H256" s="99">
        <v>2.5</v>
      </c>
      <c r="I256" s="98">
        <v>6.42</v>
      </c>
      <c r="J256" s="81">
        <f>I256*H256</f>
        <v>16.05</v>
      </c>
    </row>
    <row r="257" spans="1:10" ht="15.75" customHeight="1" x14ac:dyDescent="0.2">
      <c r="A257" s="48">
        <v>10146</v>
      </c>
      <c r="B257" s="80" t="s">
        <v>64</v>
      </c>
      <c r="C257" s="441" t="s">
        <v>229</v>
      </c>
      <c r="D257" s="442"/>
      <c r="E257" s="443"/>
      <c r="F257" s="444" t="s">
        <v>67</v>
      </c>
      <c r="G257" s="445"/>
      <c r="H257" s="99">
        <v>2.5</v>
      </c>
      <c r="I257" s="83">
        <v>4.72</v>
      </c>
      <c r="J257" s="81">
        <f>I257*H257</f>
        <v>11.799999999999999</v>
      </c>
    </row>
    <row r="258" spans="1:10" ht="15.75" x14ac:dyDescent="0.2">
      <c r="A258" s="478" t="s">
        <v>185</v>
      </c>
      <c r="B258" s="479"/>
      <c r="C258" s="479"/>
      <c r="D258" s="479"/>
      <c r="E258" s="479"/>
      <c r="F258" s="479"/>
      <c r="G258" s="479"/>
      <c r="H258" s="479"/>
      <c r="I258" s="480"/>
      <c r="J258" s="82">
        <f>SUM(J256:J257)</f>
        <v>27.85</v>
      </c>
    </row>
    <row r="259" spans="1:10" ht="15.75" x14ac:dyDescent="0.2">
      <c r="A259" s="100"/>
      <c r="B259" s="101"/>
      <c r="C259" s="101"/>
      <c r="D259" s="101"/>
      <c r="E259" s="101"/>
      <c r="F259" s="101"/>
      <c r="G259" s="101"/>
      <c r="H259" s="101"/>
      <c r="I259" s="101"/>
      <c r="J259" s="102"/>
    </row>
    <row r="260" spans="1:10" ht="15.75" x14ac:dyDescent="0.25">
      <c r="A260" s="471" t="s">
        <v>65</v>
      </c>
      <c r="B260" s="472"/>
      <c r="C260" s="472"/>
      <c r="D260" s="472"/>
      <c r="E260" s="472"/>
      <c r="F260" s="472"/>
      <c r="G260" s="472"/>
      <c r="H260" s="472"/>
      <c r="I260" s="472"/>
      <c r="J260" s="473"/>
    </row>
    <row r="261" spans="1:10" ht="15.75" customHeight="1" x14ac:dyDescent="0.2">
      <c r="A261" s="76" t="s">
        <v>45</v>
      </c>
      <c r="B261" s="77" t="s">
        <v>46</v>
      </c>
      <c r="C261" s="457" t="s">
        <v>26</v>
      </c>
      <c r="D261" s="458"/>
      <c r="E261" s="459"/>
      <c r="F261" s="457" t="s">
        <v>4</v>
      </c>
      <c r="G261" s="459"/>
      <c r="H261" s="78" t="s">
        <v>22</v>
      </c>
      <c r="I261" s="327" t="s">
        <v>55</v>
      </c>
      <c r="J261" s="79" t="s">
        <v>63</v>
      </c>
    </row>
    <row r="262" spans="1:10" ht="15.75" x14ac:dyDescent="0.25">
      <c r="A262" s="103">
        <v>20503</v>
      </c>
      <c r="B262" s="103" t="s">
        <v>64</v>
      </c>
      <c r="C262" s="483" t="s">
        <v>230</v>
      </c>
      <c r="D262" s="484"/>
      <c r="E262" s="485"/>
      <c r="F262" s="486" t="s">
        <v>47</v>
      </c>
      <c r="G262" s="487"/>
      <c r="H262" s="109">
        <v>8.6999999999999994E-3</v>
      </c>
      <c r="I262" s="104">
        <v>58.75</v>
      </c>
      <c r="J262" s="105">
        <f t="shared" ref="J262:J263" si="4">I262*H262</f>
        <v>0.51112499999999994</v>
      </c>
    </row>
    <row r="263" spans="1:10" ht="15.75" x14ac:dyDescent="0.25">
      <c r="A263" s="103">
        <v>20508</v>
      </c>
      <c r="B263" s="103" t="s">
        <v>64</v>
      </c>
      <c r="C263" s="483" t="s">
        <v>231</v>
      </c>
      <c r="D263" s="484"/>
      <c r="E263" s="485"/>
      <c r="F263" s="486" t="s">
        <v>171</v>
      </c>
      <c r="G263" s="487"/>
      <c r="H263" s="108">
        <v>3.78</v>
      </c>
      <c r="I263" s="104">
        <v>0.36</v>
      </c>
      <c r="J263" s="105">
        <f t="shared" si="4"/>
        <v>1.3607999999999998</v>
      </c>
    </row>
    <row r="264" spans="1:10" ht="15.75" x14ac:dyDescent="0.2">
      <c r="A264" s="478" t="s">
        <v>48</v>
      </c>
      <c r="B264" s="479"/>
      <c r="C264" s="479"/>
      <c r="D264" s="479"/>
      <c r="E264" s="479"/>
      <c r="F264" s="479"/>
      <c r="G264" s="479"/>
      <c r="H264" s="479"/>
      <c r="I264" s="480"/>
      <c r="J264" s="106">
        <f>SUM(J262:J263)</f>
        <v>1.8719249999999996</v>
      </c>
    </row>
    <row r="265" spans="1:10" ht="15.75" x14ac:dyDescent="0.25">
      <c r="A265" s="321"/>
      <c r="B265" s="322"/>
      <c r="C265" s="322"/>
      <c r="D265" s="322"/>
      <c r="E265" s="322"/>
      <c r="F265" s="322"/>
      <c r="G265" s="322"/>
      <c r="H265" s="322"/>
      <c r="I265" s="322"/>
      <c r="J265" s="323"/>
    </row>
    <row r="266" spans="1:10" ht="15.75" x14ac:dyDescent="0.25">
      <c r="A266" s="465" t="s">
        <v>60</v>
      </c>
      <c r="B266" s="466"/>
      <c r="C266" s="466"/>
      <c r="D266" s="466"/>
      <c r="E266" s="466"/>
      <c r="F266" s="466"/>
      <c r="G266" s="466"/>
      <c r="H266" s="467"/>
      <c r="I266" s="436">
        <f>SUM(J258+J264)</f>
        <v>29.721925000000002</v>
      </c>
      <c r="J266" s="437"/>
    </row>
    <row r="267" spans="1:10" ht="15.75" x14ac:dyDescent="0.25">
      <c r="A267" s="465" t="s">
        <v>61</v>
      </c>
      <c r="B267" s="466"/>
      <c r="C267" s="466"/>
      <c r="D267" s="466"/>
      <c r="E267" s="466"/>
      <c r="F267" s="466"/>
      <c r="G267" s="466"/>
      <c r="H267" s="467"/>
      <c r="I267" s="436">
        <v>1</v>
      </c>
      <c r="J267" s="437"/>
    </row>
    <row r="268" spans="1:10" ht="15.75" x14ac:dyDescent="0.25">
      <c r="A268" s="465" t="s">
        <v>62</v>
      </c>
      <c r="B268" s="466"/>
      <c r="C268" s="466"/>
      <c r="D268" s="466"/>
      <c r="E268" s="466"/>
      <c r="F268" s="466"/>
      <c r="G268" s="466"/>
      <c r="H268" s="467"/>
      <c r="I268" s="481">
        <f>I266/I267</f>
        <v>29.721925000000002</v>
      </c>
      <c r="J268" s="482"/>
    </row>
    <row r="269" spans="1:10" ht="15.75" customHeight="1" x14ac:dyDescent="0.25">
      <c r="A269" s="324"/>
      <c r="B269" s="325"/>
      <c r="C269" s="325"/>
      <c r="D269" s="325"/>
      <c r="E269" s="325"/>
      <c r="F269" s="325"/>
      <c r="G269" s="325"/>
      <c r="H269" s="325"/>
      <c r="I269" s="325"/>
      <c r="J269" s="326"/>
    </row>
    <row r="270" spans="1:10" ht="15.75" x14ac:dyDescent="0.25">
      <c r="A270" s="465" t="s">
        <v>66</v>
      </c>
      <c r="B270" s="466"/>
      <c r="C270" s="466"/>
      <c r="D270" s="466"/>
      <c r="E270" s="466"/>
      <c r="F270" s="466"/>
      <c r="G270" s="466"/>
      <c r="H270" s="467"/>
      <c r="I270" s="436">
        <f>I268</f>
        <v>29.721925000000002</v>
      </c>
      <c r="J270" s="437"/>
    </row>
    <row r="271" spans="1:10" ht="15.75" x14ac:dyDescent="0.25">
      <c r="A271" s="465" t="s">
        <v>99</v>
      </c>
      <c r="B271" s="466"/>
      <c r="C271" s="466"/>
      <c r="D271" s="466"/>
      <c r="E271" s="466"/>
      <c r="F271" s="466"/>
      <c r="G271" s="466"/>
      <c r="H271" s="467"/>
      <c r="I271" s="436">
        <f>I270*0.2654</f>
        <v>7.8881988950000013</v>
      </c>
      <c r="J271" s="437"/>
    </row>
    <row r="272" spans="1:10" ht="15.75" x14ac:dyDescent="0.25">
      <c r="A272" s="465" t="s">
        <v>51</v>
      </c>
      <c r="B272" s="466"/>
      <c r="C272" s="466"/>
      <c r="D272" s="466"/>
      <c r="E272" s="466"/>
      <c r="F272" s="466"/>
      <c r="G272" s="466"/>
      <c r="H272" s="467"/>
      <c r="I272" s="436">
        <f>SUM(I270:J271)</f>
        <v>37.610123895000001</v>
      </c>
      <c r="J272" s="437"/>
    </row>
    <row r="273" spans="1:10" ht="15.75" customHeight="1" x14ac:dyDescent="0.25">
      <c r="A273" s="432"/>
      <c r="B273" s="432"/>
      <c r="C273" s="432"/>
      <c r="D273" s="432"/>
      <c r="E273" s="432"/>
      <c r="F273" s="432"/>
      <c r="G273" s="432"/>
      <c r="H273" s="432"/>
      <c r="I273" s="432"/>
      <c r="J273" s="432"/>
    </row>
    <row r="274" spans="1:10" ht="15.75" customHeight="1" x14ac:dyDescent="0.2">
      <c r="A274" s="74" t="s">
        <v>44</v>
      </c>
      <c r="B274" s="433" t="s">
        <v>345</v>
      </c>
      <c r="C274" s="433"/>
      <c r="D274" s="433"/>
      <c r="E274" s="433"/>
      <c r="F274" s="433"/>
      <c r="G274" s="433"/>
      <c r="H274" s="433"/>
      <c r="I274" s="433"/>
      <c r="J274" s="434"/>
    </row>
    <row r="275" spans="1:10" ht="15.75" customHeight="1" x14ac:dyDescent="0.2">
      <c r="A275" s="74" t="s">
        <v>49</v>
      </c>
      <c r="B275" s="468" t="s">
        <v>56</v>
      </c>
      <c r="C275" s="468"/>
      <c r="D275" s="468"/>
      <c r="E275" s="75"/>
      <c r="F275" s="469" t="s">
        <v>213</v>
      </c>
      <c r="G275" s="469"/>
      <c r="H275" s="469"/>
      <c r="I275" s="469"/>
      <c r="J275" s="470"/>
    </row>
    <row r="276" spans="1:10" ht="4.5" customHeight="1" x14ac:dyDescent="0.25">
      <c r="A276" s="324"/>
      <c r="B276" s="325"/>
      <c r="C276" s="325"/>
      <c r="D276" s="325"/>
      <c r="E276" s="325"/>
      <c r="F276" s="325"/>
      <c r="G276" s="325"/>
      <c r="H276" s="325"/>
      <c r="I276" s="325"/>
      <c r="J276" s="326"/>
    </row>
    <row r="277" spans="1:10" ht="15.75" x14ac:dyDescent="0.25">
      <c r="A277" s="471" t="s">
        <v>59</v>
      </c>
      <c r="B277" s="472"/>
      <c r="C277" s="472"/>
      <c r="D277" s="472"/>
      <c r="E277" s="472"/>
      <c r="F277" s="472"/>
      <c r="G277" s="472"/>
      <c r="H277" s="472"/>
      <c r="I277" s="472"/>
      <c r="J277" s="473"/>
    </row>
    <row r="278" spans="1:10" ht="15.75" customHeight="1" x14ac:dyDescent="0.2">
      <c r="A278" s="76" t="s">
        <v>45</v>
      </c>
      <c r="B278" s="77" t="s">
        <v>46</v>
      </c>
      <c r="C278" s="457" t="s">
        <v>26</v>
      </c>
      <c r="D278" s="458"/>
      <c r="E278" s="459"/>
      <c r="F278" s="457" t="s">
        <v>4</v>
      </c>
      <c r="G278" s="459"/>
      <c r="H278" s="78" t="s">
        <v>22</v>
      </c>
      <c r="I278" s="327" t="s">
        <v>55</v>
      </c>
      <c r="J278" s="79" t="s">
        <v>63</v>
      </c>
    </row>
    <row r="279" spans="1:10" ht="15.75" customHeight="1" x14ac:dyDescent="0.2">
      <c r="A279" s="94">
        <v>88247</v>
      </c>
      <c r="B279" s="96" t="s">
        <v>75</v>
      </c>
      <c r="C279" s="460" t="s">
        <v>346</v>
      </c>
      <c r="D279" s="461"/>
      <c r="E279" s="462"/>
      <c r="F279" s="463" t="s">
        <v>67</v>
      </c>
      <c r="G279" s="464"/>
      <c r="H279" s="99">
        <v>0.223</v>
      </c>
      <c r="I279" s="98">
        <v>15.25</v>
      </c>
      <c r="J279" s="81">
        <f>I279*H279</f>
        <v>3.4007499999999999</v>
      </c>
    </row>
    <row r="280" spans="1:10" ht="15.75" customHeight="1" x14ac:dyDescent="0.2">
      <c r="A280" s="48">
        <v>88264</v>
      </c>
      <c r="B280" s="96" t="s">
        <v>75</v>
      </c>
      <c r="C280" s="441" t="s">
        <v>143</v>
      </c>
      <c r="D280" s="442"/>
      <c r="E280" s="443"/>
      <c r="F280" s="444" t="s">
        <v>67</v>
      </c>
      <c r="G280" s="445"/>
      <c r="H280" s="356">
        <v>0.53500000000000003</v>
      </c>
      <c r="I280" s="83">
        <v>19.8</v>
      </c>
      <c r="J280" s="81">
        <f>I280*H280</f>
        <v>10.593000000000002</v>
      </c>
    </row>
    <row r="281" spans="1:10" ht="15.75" x14ac:dyDescent="0.2">
      <c r="A281" s="478" t="s">
        <v>48</v>
      </c>
      <c r="B281" s="479"/>
      <c r="C281" s="479"/>
      <c r="D281" s="479"/>
      <c r="E281" s="479"/>
      <c r="F281" s="479"/>
      <c r="G281" s="479"/>
      <c r="H281" s="479"/>
      <c r="I281" s="480"/>
      <c r="J281" s="82">
        <f>SUM(J279:J280)</f>
        <v>13.993750000000002</v>
      </c>
    </row>
    <row r="282" spans="1:10" ht="15.75" x14ac:dyDescent="0.25">
      <c r="A282" s="321"/>
      <c r="B282" s="322"/>
      <c r="C282" s="322"/>
      <c r="D282" s="322"/>
      <c r="E282" s="322"/>
      <c r="F282" s="322"/>
      <c r="G282" s="322"/>
      <c r="H282" s="322"/>
      <c r="I282" s="322"/>
      <c r="J282" s="323"/>
    </row>
    <row r="283" spans="1:10" ht="15.75" x14ac:dyDescent="0.25">
      <c r="A283" s="471" t="s">
        <v>65</v>
      </c>
      <c r="B283" s="472"/>
      <c r="C283" s="472"/>
      <c r="D283" s="472"/>
      <c r="E283" s="472"/>
      <c r="F283" s="472"/>
      <c r="G283" s="472"/>
      <c r="H283" s="472"/>
      <c r="I283" s="472"/>
      <c r="J283" s="473"/>
    </row>
    <row r="284" spans="1:10" ht="15.75" customHeight="1" x14ac:dyDescent="0.2">
      <c r="A284" s="76" t="s">
        <v>45</v>
      </c>
      <c r="B284" s="77" t="s">
        <v>46</v>
      </c>
      <c r="C284" s="457" t="s">
        <v>26</v>
      </c>
      <c r="D284" s="458"/>
      <c r="E284" s="459"/>
      <c r="F284" s="457" t="s">
        <v>4</v>
      </c>
      <c r="G284" s="459"/>
      <c r="H284" s="78" t="s">
        <v>22</v>
      </c>
      <c r="I284" s="327" t="s">
        <v>55</v>
      </c>
      <c r="J284" s="79" t="s">
        <v>63</v>
      </c>
    </row>
    <row r="285" spans="1:10" ht="30" customHeight="1" x14ac:dyDescent="0.2">
      <c r="A285" s="48">
        <v>38773</v>
      </c>
      <c r="B285" s="48" t="s">
        <v>75</v>
      </c>
      <c r="C285" s="441" t="s">
        <v>347</v>
      </c>
      <c r="D285" s="442"/>
      <c r="E285" s="443"/>
      <c r="F285" s="444" t="s">
        <v>56</v>
      </c>
      <c r="G285" s="445"/>
      <c r="H285" s="47">
        <v>1</v>
      </c>
      <c r="I285" s="320">
        <v>2.86</v>
      </c>
      <c r="J285" s="320">
        <f>I285*H285</f>
        <v>2.86</v>
      </c>
    </row>
    <row r="286" spans="1:10" ht="15.75" x14ac:dyDescent="0.25">
      <c r="A286" s="474" t="s">
        <v>50</v>
      </c>
      <c r="B286" s="475"/>
      <c r="C286" s="475"/>
      <c r="D286" s="475"/>
      <c r="E286" s="475"/>
      <c r="F286" s="475"/>
      <c r="G286" s="475"/>
      <c r="H286" s="475"/>
      <c r="I286" s="476"/>
      <c r="J286" s="86">
        <f>SUM(J285:J285)</f>
        <v>2.86</v>
      </c>
    </row>
    <row r="287" spans="1:10" ht="15.75" x14ac:dyDescent="0.25">
      <c r="A287" s="477"/>
      <c r="B287" s="477"/>
      <c r="C287" s="477"/>
      <c r="D287" s="477"/>
      <c r="E287" s="477"/>
      <c r="F287" s="477"/>
      <c r="G287" s="477"/>
      <c r="H287" s="477"/>
      <c r="I287" s="477"/>
      <c r="J287" s="477"/>
    </row>
    <row r="288" spans="1:10" ht="15.75" x14ac:dyDescent="0.25">
      <c r="A288" s="465" t="s">
        <v>60</v>
      </c>
      <c r="B288" s="466"/>
      <c r="C288" s="466"/>
      <c r="D288" s="466"/>
      <c r="E288" s="466"/>
      <c r="F288" s="466"/>
      <c r="G288" s="466"/>
      <c r="H288" s="467"/>
      <c r="I288" s="436">
        <f>SUM(J281+J286)</f>
        <v>16.853750000000002</v>
      </c>
      <c r="J288" s="437"/>
    </row>
    <row r="289" spans="1:10" ht="15.75" x14ac:dyDescent="0.25">
      <c r="A289" s="465" t="s">
        <v>61</v>
      </c>
      <c r="B289" s="466"/>
      <c r="C289" s="466"/>
      <c r="D289" s="466"/>
      <c r="E289" s="466"/>
      <c r="F289" s="466"/>
      <c r="G289" s="466"/>
      <c r="H289" s="467"/>
      <c r="I289" s="436">
        <v>1</v>
      </c>
      <c r="J289" s="437"/>
    </row>
    <row r="290" spans="1:10" ht="15.75" x14ac:dyDescent="0.25">
      <c r="A290" s="465" t="s">
        <v>62</v>
      </c>
      <c r="B290" s="466"/>
      <c r="C290" s="466"/>
      <c r="D290" s="466"/>
      <c r="E290" s="466"/>
      <c r="F290" s="466"/>
      <c r="G290" s="466"/>
      <c r="H290" s="467"/>
      <c r="I290" s="436">
        <f>I288/I289</f>
        <v>16.853750000000002</v>
      </c>
      <c r="J290" s="437"/>
    </row>
    <row r="291" spans="1:10" ht="15.75" x14ac:dyDescent="0.25">
      <c r="A291" s="354"/>
      <c r="B291" s="355"/>
      <c r="C291" s="355"/>
      <c r="D291" s="355"/>
      <c r="E291" s="355"/>
      <c r="F291" s="355"/>
      <c r="G291" s="355"/>
      <c r="H291" s="355"/>
      <c r="I291" s="325"/>
      <c r="J291" s="326"/>
    </row>
    <row r="292" spans="1:10" ht="15.75" customHeight="1" x14ac:dyDescent="0.25">
      <c r="A292" s="465" t="s">
        <v>66</v>
      </c>
      <c r="B292" s="466"/>
      <c r="C292" s="466"/>
      <c r="D292" s="466"/>
      <c r="E292" s="466"/>
      <c r="F292" s="466"/>
      <c r="G292" s="466"/>
      <c r="H292" s="467"/>
      <c r="I292" s="436">
        <f>I290</f>
        <v>16.853750000000002</v>
      </c>
      <c r="J292" s="437"/>
    </row>
    <row r="293" spans="1:10" ht="15.75" x14ac:dyDescent="0.25">
      <c r="A293" s="465" t="s">
        <v>99</v>
      </c>
      <c r="B293" s="466"/>
      <c r="C293" s="466"/>
      <c r="D293" s="466"/>
      <c r="E293" s="466"/>
      <c r="F293" s="466"/>
      <c r="G293" s="466"/>
      <c r="H293" s="467"/>
      <c r="I293" s="436">
        <f>I292*0.2654</f>
        <v>4.4729852500000007</v>
      </c>
      <c r="J293" s="437"/>
    </row>
    <row r="294" spans="1:10" ht="15.75" x14ac:dyDescent="0.25">
      <c r="A294" s="465" t="s">
        <v>51</v>
      </c>
      <c r="B294" s="466"/>
      <c r="C294" s="466"/>
      <c r="D294" s="466"/>
      <c r="E294" s="466"/>
      <c r="F294" s="466"/>
      <c r="G294" s="466"/>
      <c r="H294" s="467"/>
      <c r="I294" s="436">
        <f>SUM(I292:J293)</f>
        <v>21.326735250000002</v>
      </c>
      <c r="J294" s="437"/>
    </row>
    <row r="295" spans="1:10" x14ac:dyDescent="0.25">
      <c r="A295" s="432"/>
      <c r="B295" s="432"/>
      <c r="C295" s="432"/>
      <c r="D295" s="432"/>
      <c r="E295" s="432"/>
      <c r="F295" s="432"/>
      <c r="G295" s="432"/>
      <c r="H295" s="432"/>
      <c r="I295" s="432"/>
      <c r="J295" s="432"/>
    </row>
    <row r="296" spans="1:10" ht="15.75" customHeight="1" x14ac:dyDescent="0.2">
      <c r="A296" s="74" t="s">
        <v>44</v>
      </c>
      <c r="B296" s="433" t="s">
        <v>351</v>
      </c>
      <c r="C296" s="433"/>
      <c r="D296" s="433"/>
      <c r="E296" s="433"/>
      <c r="F296" s="433"/>
      <c r="G296" s="433"/>
      <c r="H296" s="433"/>
      <c r="I296" s="433"/>
      <c r="J296" s="434"/>
    </row>
    <row r="297" spans="1:10" ht="15.75" customHeight="1" x14ac:dyDescent="0.2">
      <c r="A297" s="74" t="s">
        <v>49</v>
      </c>
      <c r="B297" s="468" t="s">
        <v>56</v>
      </c>
      <c r="C297" s="468"/>
      <c r="D297" s="468"/>
      <c r="E297" s="75"/>
      <c r="F297" s="469" t="s">
        <v>402</v>
      </c>
      <c r="G297" s="469"/>
      <c r="H297" s="469"/>
      <c r="I297" s="469"/>
      <c r="J297" s="470"/>
    </row>
    <row r="298" spans="1:10" ht="4.5" customHeight="1" x14ac:dyDescent="0.25">
      <c r="A298" s="324"/>
      <c r="B298" s="325"/>
      <c r="C298" s="325"/>
      <c r="D298" s="325"/>
      <c r="E298" s="325"/>
      <c r="F298" s="325"/>
      <c r="G298" s="325"/>
      <c r="H298" s="325"/>
      <c r="I298" s="325"/>
      <c r="J298" s="326"/>
    </row>
    <row r="299" spans="1:10" ht="15.75" x14ac:dyDescent="0.25">
      <c r="A299" s="471" t="s">
        <v>59</v>
      </c>
      <c r="B299" s="472"/>
      <c r="C299" s="472"/>
      <c r="D299" s="472"/>
      <c r="E299" s="472"/>
      <c r="F299" s="472"/>
      <c r="G299" s="472"/>
      <c r="H299" s="472"/>
      <c r="I299" s="472"/>
      <c r="J299" s="473"/>
    </row>
    <row r="300" spans="1:10" ht="15.75" customHeight="1" x14ac:dyDescent="0.2">
      <c r="A300" s="76" t="s">
        <v>45</v>
      </c>
      <c r="B300" s="77" t="s">
        <v>46</v>
      </c>
      <c r="C300" s="457" t="s">
        <v>26</v>
      </c>
      <c r="D300" s="458"/>
      <c r="E300" s="459"/>
      <c r="F300" s="457" t="s">
        <v>4</v>
      </c>
      <c r="G300" s="459"/>
      <c r="H300" s="78" t="s">
        <v>22</v>
      </c>
      <c r="I300" s="327" t="s">
        <v>55</v>
      </c>
      <c r="J300" s="79" t="s">
        <v>63</v>
      </c>
    </row>
    <row r="301" spans="1:10" ht="15.75" x14ac:dyDescent="0.2">
      <c r="A301" s="94">
        <v>88247</v>
      </c>
      <c r="B301" s="96" t="s">
        <v>75</v>
      </c>
      <c r="C301" s="460" t="s">
        <v>346</v>
      </c>
      <c r="D301" s="461"/>
      <c r="E301" s="462"/>
      <c r="F301" s="463" t="s">
        <v>67</v>
      </c>
      <c r="G301" s="464"/>
      <c r="H301" s="99">
        <v>0.10299999999999999</v>
      </c>
      <c r="I301" s="98">
        <v>15.25</v>
      </c>
      <c r="J301" s="81">
        <f>I301*H301</f>
        <v>1.5707499999999999</v>
      </c>
    </row>
    <row r="302" spans="1:10" ht="15.75" customHeight="1" x14ac:dyDescent="0.2">
      <c r="A302" s="48">
        <v>88264</v>
      </c>
      <c r="B302" s="96" t="s">
        <v>75</v>
      </c>
      <c r="C302" s="455" t="s">
        <v>143</v>
      </c>
      <c r="D302" s="455"/>
      <c r="E302" s="455"/>
      <c r="F302" s="456" t="s">
        <v>67</v>
      </c>
      <c r="G302" s="456"/>
      <c r="H302" s="356">
        <v>0.247</v>
      </c>
      <c r="I302" s="83">
        <v>19.8</v>
      </c>
      <c r="J302" s="81">
        <f>I302*H302</f>
        <v>4.8906000000000001</v>
      </c>
    </row>
    <row r="303" spans="1:10" ht="15.75" customHeight="1" x14ac:dyDescent="0.2">
      <c r="A303" s="447" t="s">
        <v>48</v>
      </c>
      <c r="B303" s="448"/>
      <c r="C303" s="448"/>
      <c r="D303" s="448"/>
      <c r="E303" s="448"/>
      <c r="F303" s="448"/>
      <c r="G303" s="448"/>
      <c r="H303" s="448"/>
      <c r="I303" s="448"/>
      <c r="J303" s="82">
        <f>SUM(J301:J302)</f>
        <v>6.4613499999999995</v>
      </c>
    </row>
    <row r="304" spans="1:10" ht="15.75" x14ac:dyDescent="0.25">
      <c r="A304" s="449"/>
      <c r="B304" s="450"/>
      <c r="C304" s="450"/>
      <c r="D304" s="450"/>
      <c r="E304" s="450"/>
      <c r="F304" s="450"/>
      <c r="G304" s="450"/>
      <c r="H304" s="450"/>
      <c r="I304" s="450"/>
      <c r="J304" s="451"/>
    </row>
    <row r="305" spans="1:10" ht="15.75" x14ac:dyDescent="0.25">
      <c r="A305" s="452" t="s">
        <v>65</v>
      </c>
      <c r="B305" s="452"/>
      <c r="C305" s="453"/>
      <c r="D305" s="453"/>
      <c r="E305" s="453"/>
      <c r="F305" s="453"/>
      <c r="G305" s="453"/>
      <c r="H305" s="453"/>
      <c r="I305" s="453"/>
      <c r="J305" s="453"/>
    </row>
    <row r="306" spans="1:10" ht="15.75" x14ac:dyDescent="0.2">
      <c r="A306" s="76" t="s">
        <v>45</v>
      </c>
      <c r="B306" s="77" t="s">
        <v>46</v>
      </c>
      <c r="C306" s="454" t="s">
        <v>26</v>
      </c>
      <c r="D306" s="454"/>
      <c r="E306" s="454"/>
      <c r="F306" s="454" t="s">
        <v>4</v>
      </c>
      <c r="G306" s="454"/>
      <c r="H306" s="78" t="s">
        <v>22</v>
      </c>
      <c r="I306" s="327" t="s">
        <v>55</v>
      </c>
      <c r="J306" s="79" t="s">
        <v>63</v>
      </c>
    </row>
    <row r="307" spans="1:10" ht="15.75" x14ac:dyDescent="0.2">
      <c r="A307" s="48">
        <v>1088</v>
      </c>
      <c r="B307" s="48" t="s">
        <v>75</v>
      </c>
      <c r="C307" s="455" t="s">
        <v>348</v>
      </c>
      <c r="D307" s="455"/>
      <c r="E307" s="455"/>
      <c r="F307" s="456" t="s">
        <v>56</v>
      </c>
      <c r="G307" s="456"/>
      <c r="H307" s="47">
        <v>1</v>
      </c>
      <c r="I307" s="320">
        <v>12.5</v>
      </c>
      <c r="J307" s="320">
        <f>I307*H307</f>
        <v>12.5</v>
      </c>
    </row>
    <row r="308" spans="1:10" ht="15.75" x14ac:dyDescent="0.2">
      <c r="A308" s="48">
        <v>12295</v>
      </c>
      <c r="B308" s="48" t="s">
        <v>75</v>
      </c>
      <c r="C308" s="441" t="s">
        <v>349</v>
      </c>
      <c r="D308" s="442"/>
      <c r="E308" s="443"/>
      <c r="F308" s="444" t="s">
        <v>56</v>
      </c>
      <c r="G308" s="445"/>
      <c r="H308" s="47">
        <v>2</v>
      </c>
      <c r="I308" s="320">
        <v>1.96</v>
      </c>
      <c r="J308" s="320">
        <f t="shared" ref="J308" si="5">I308*H308</f>
        <v>3.92</v>
      </c>
    </row>
    <row r="309" spans="1:10" ht="15.75" x14ac:dyDescent="0.2">
      <c r="A309" s="48">
        <v>39386</v>
      </c>
      <c r="B309" s="48" t="s">
        <v>75</v>
      </c>
      <c r="C309" s="441" t="s">
        <v>350</v>
      </c>
      <c r="D309" s="442"/>
      <c r="E309" s="443"/>
      <c r="F309" s="444" t="s">
        <v>56</v>
      </c>
      <c r="G309" s="445"/>
      <c r="H309" s="47">
        <v>1</v>
      </c>
      <c r="I309" s="320">
        <v>33.35</v>
      </c>
      <c r="J309" s="320">
        <f>I309*H309</f>
        <v>33.35</v>
      </c>
    </row>
    <row r="310" spans="1:10" ht="15.75" x14ac:dyDescent="0.25">
      <c r="A310" s="446" t="s">
        <v>50</v>
      </c>
      <c r="B310" s="446"/>
      <c r="C310" s="446"/>
      <c r="D310" s="446"/>
      <c r="E310" s="446"/>
      <c r="F310" s="446"/>
      <c r="G310" s="446"/>
      <c r="H310" s="446"/>
      <c r="I310" s="446"/>
      <c r="J310" s="86">
        <f>SUM(J307:J309)</f>
        <v>49.77</v>
      </c>
    </row>
    <row r="311" spans="1:10" ht="15.75" x14ac:dyDescent="0.25">
      <c r="A311" s="87"/>
      <c r="B311" s="88"/>
      <c r="C311" s="89"/>
      <c r="D311" s="89"/>
      <c r="E311" s="89"/>
      <c r="F311" s="88"/>
      <c r="G311" s="90"/>
      <c r="H311" s="91"/>
      <c r="I311" s="92"/>
      <c r="J311" s="93"/>
    </row>
    <row r="312" spans="1:10" ht="15.75" x14ac:dyDescent="0.25">
      <c r="A312" s="435" t="s">
        <v>60</v>
      </c>
      <c r="B312" s="435"/>
      <c r="C312" s="435"/>
      <c r="D312" s="435"/>
      <c r="E312" s="435"/>
      <c r="F312" s="435"/>
      <c r="G312" s="435"/>
      <c r="H312" s="435"/>
      <c r="I312" s="436">
        <f>SUM(J303+J310)</f>
        <v>56.231350000000006</v>
      </c>
      <c r="J312" s="437"/>
    </row>
    <row r="313" spans="1:10" ht="15.75" x14ac:dyDescent="0.25">
      <c r="A313" s="435" t="s">
        <v>61</v>
      </c>
      <c r="B313" s="435"/>
      <c r="C313" s="435"/>
      <c r="D313" s="435"/>
      <c r="E313" s="435"/>
      <c r="F313" s="435"/>
      <c r="G313" s="435"/>
      <c r="H313" s="435"/>
      <c r="I313" s="436">
        <v>1</v>
      </c>
      <c r="J313" s="437"/>
    </row>
    <row r="314" spans="1:10" ht="15.75" customHeight="1" x14ac:dyDescent="0.25">
      <c r="A314" s="435" t="s">
        <v>62</v>
      </c>
      <c r="B314" s="435"/>
      <c r="C314" s="435"/>
      <c r="D314" s="435"/>
      <c r="E314" s="435"/>
      <c r="F314" s="435"/>
      <c r="G314" s="435"/>
      <c r="H314" s="435"/>
      <c r="I314" s="436">
        <f>I312/I313</f>
        <v>56.231350000000006</v>
      </c>
      <c r="J314" s="437"/>
    </row>
    <row r="315" spans="1:10" ht="15.75" x14ac:dyDescent="0.25">
      <c r="A315" s="438"/>
      <c r="B315" s="439"/>
      <c r="C315" s="439"/>
      <c r="D315" s="439"/>
      <c r="E315" s="439"/>
      <c r="F315" s="439"/>
      <c r="G315" s="439"/>
      <c r="H315" s="439"/>
      <c r="I315" s="439"/>
      <c r="J315" s="440"/>
    </row>
    <row r="316" spans="1:10" ht="15.75" x14ac:dyDescent="0.25">
      <c r="A316" s="435" t="s">
        <v>66</v>
      </c>
      <c r="B316" s="435"/>
      <c r="C316" s="435"/>
      <c r="D316" s="435"/>
      <c r="E316" s="435"/>
      <c r="F316" s="435"/>
      <c r="G316" s="435"/>
      <c r="H316" s="435"/>
      <c r="I316" s="436">
        <f>I314</f>
        <v>56.231350000000006</v>
      </c>
      <c r="J316" s="437"/>
    </row>
    <row r="317" spans="1:10" ht="15.75" x14ac:dyDescent="0.25">
      <c r="A317" s="435" t="s">
        <v>99</v>
      </c>
      <c r="B317" s="435"/>
      <c r="C317" s="435"/>
      <c r="D317" s="435"/>
      <c r="E317" s="435"/>
      <c r="F317" s="435"/>
      <c r="G317" s="435"/>
      <c r="H317" s="435"/>
      <c r="I317" s="436">
        <f>I316*0.2654</f>
        <v>14.923800290000003</v>
      </c>
      <c r="J317" s="437"/>
    </row>
    <row r="318" spans="1:10" ht="15.75" customHeight="1" x14ac:dyDescent="0.25">
      <c r="A318" s="435" t="s">
        <v>51</v>
      </c>
      <c r="B318" s="435"/>
      <c r="C318" s="435"/>
      <c r="D318" s="435"/>
      <c r="E318" s="435"/>
      <c r="F318" s="435"/>
      <c r="G318" s="435"/>
      <c r="H318" s="435"/>
      <c r="I318" s="436">
        <f>SUM(I316:J317)</f>
        <v>71.155150290000009</v>
      </c>
      <c r="J318" s="437"/>
    </row>
    <row r="319" spans="1:10" ht="15.75" customHeight="1" x14ac:dyDescent="0.2">
      <c r="A319" s="358"/>
      <c r="B319" s="358"/>
      <c r="C319" s="358"/>
      <c r="D319" s="358"/>
      <c r="E319" s="358"/>
      <c r="F319" s="358"/>
      <c r="G319" s="358"/>
      <c r="H319" s="358"/>
      <c r="I319" s="358"/>
      <c r="J319" s="358"/>
    </row>
    <row r="320" spans="1:10" ht="15.75" customHeight="1" x14ac:dyDescent="0.2">
      <c r="A320" s="359"/>
      <c r="B320" s="359"/>
      <c r="C320" s="359"/>
      <c r="D320" s="359"/>
      <c r="E320" s="359"/>
      <c r="F320" s="359"/>
      <c r="G320" s="359"/>
      <c r="H320" s="359"/>
      <c r="I320" s="359"/>
      <c r="J320" s="359"/>
    </row>
    <row r="321" spans="1:10" ht="15.75" customHeight="1" x14ac:dyDescent="0.2">
      <c r="A321" s="359"/>
      <c r="B321" s="359"/>
      <c r="C321" s="359"/>
      <c r="D321" s="359"/>
      <c r="E321" s="359"/>
      <c r="F321" s="359"/>
      <c r="G321" s="359"/>
      <c r="H321" s="359"/>
      <c r="I321" s="359"/>
      <c r="J321" s="359"/>
    </row>
    <row r="322" spans="1:10" ht="15.75" customHeight="1" x14ac:dyDescent="0.2">
      <c r="A322" s="359"/>
      <c r="B322" s="359"/>
      <c r="C322" s="359"/>
      <c r="D322" s="359"/>
      <c r="E322" s="359"/>
      <c r="F322" s="359"/>
      <c r="G322" s="359"/>
      <c r="H322" s="359"/>
      <c r="I322" s="359"/>
      <c r="J322" s="359"/>
    </row>
    <row r="323" spans="1:10" ht="15.75" customHeight="1" x14ac:dyDescent="0.2">
      <c r="A323" s="359"/>
      <c r="B323" s="359"/>
      <c r="C323" s="359"/>
      <c r="D323" s="359"/>
      <c r="E323" s="359"/>
      <c r="F323" s="359"/>
      <c r="G323" s="359"/>
      <c r="H323" s="359"/>
      <c r="I323" s="359"/>
      <c r="J323" s="359"/>
    </row>
    <row r="324" spans="1:10" ht="15.75" customHeight="1" x14ac:dyDescent="0.2">
      <c r="A324" s="359"/>
      <c r="B324" s="359"/>
      <c r="C324" s="359"/>
      <c r="D324" s="359"/>
      <c r="E324" s="359"/>
      <c r="F324" s="359"/>
      <c r="G324" s="359"/>
      <c r="H324" s="359"/>
      <c r="I324" s="359"/>
      <c r="J324" s="359"/>
    </row>
    <row r="325" spans="1:10" ht="15.75" customHeight="1" x14ac:dyDescent="0.2">
      <c r="A325" s="359"/>
      <c r="B325" s="359"/>
      <c r="C325" s="359"/>
      <c r="D325" s="359"/>
      <c r="E325" s="359"/>
      <c r="F325" s="359"/>
      <c r="G325" s="359"/>
      <c r="H325" s="359"/>
      <c r="I325" s="359"/>
      <c r="J325" s="359"/>
    </row>
    <row r="326" spans="1:10" ht="15.75" customHeight="1" x14ac:dyDescent="0.2">
      <c r="A326" s="359"/>
      <c r="B326" s="359"/>
      <c r="C326" s="359"/>
      <c r="D326" s="359"/>
      <c r="E326" s="359"/>
      <c r="F326" s="359"/>
      <c r="G326" s="359"/>
      <c r="H326" s="359"/>
      <c r="I326" s="359"/>
      <c r="J326" s="359"/>
    </row>
    <row r="327" spans="1:10" ht="15.75" customHeight="1" x14ac:dyDescent="0.2">
      <c r="A327" s="359"/>
      <c r="B327" s="359"/>
      <c r="C327" s="359"/>
      <c r="D327" s="359"/>
      <c r="E327" s="359"/>
      <c r="F327" s="359"/>
      <c r="G327" s="359"/>
      <c r="H327" s="359"/>
      <c r="I327" s="359"/>
      <c r="J327" s="359"/>
    </row>
    <row r="328" spans="1:10" ht="15.75" customHeight="1" x14ac:dyDescent="0.2">
      <c r="A328" s="359"/>
      <c r="B328" s="359"/>
      <c r="C328" s="359"/>
      <c r="D328" s="359"/>
      <c r="E328" s="359"/>
      <c r="F328" s="359"/>
      <c r="G328" s="359"/>
      <c r="H328" s="359"/>
      <c r="I328" s="359"/>
      <c r="J328" s="359"/>
    </row>
    <row r="329" spans="1:10" ht="15.75" customHeight="1" x14ac:dyDescent="0.2">
      <c r="A329" s="359"/>
      <c r="B329" s="359"/>
      <c r="C329" s="359"/>
      <c r="D329" s="359"/>
      <c r="E329" s="359"/>
      <c r="F329" s="359"/>
      <c r="G329" s="359"/>
      <c r="H329" s="359"/>
      <c r="I329" s="359"/>
      <c r="J329" s="359"/>
    </row>
    <row r="330" spans="1:10" ht="15.75" customHeight="1" x14ac:dyDescent="0.2">
      <c r="A330" s="359"/>
      <c r="B330" s="359"/>
      <c r="C330" s="359"/>
      <c r="D330" s="359"/>
      <c r="E330" s="359"/>
      <c r="F330" s="359"/>
      <c r="G330" s="359"/>
      <c r="H330" s="359"/>
      <c r="I330" s="359"/>
      <c r="J330" s="359"/>
    </row>
    <row r="331" spans="1:10" ht="15.75" customHeight="1" x14ac:dyDescent="0.2">
      <c r="A331" s="359"/>
      <c r="B331" s="359"/>
      <c r="C331" s="359"/>
      <c r="D331" s="359"/>
      <c r="E331" s="359"/>
      <c r="F331" s="359"/>
      <c r="G331" s="359"/>
      <c r="H331" s="359"/>
      <c r="I331" s="359"/>
      <c r="J331" s="359"/>
    </row>
    <row r="332" spans="1:10" ht="15.75" customHeight="1" x14ac:dyDescent="0.2">
      <c r="A332" s="359"/>
      <c r="B332" s="359"/>
      <c r="C332" s="359"/>
      <c r="D332" s="359"/>
      <c r="E332" s="359"/>
      <c r="F332" s="359"/>
      <c r="G332" s="359"/>
      <c r="H332" s="359"/>
      <c r="I332" s="359"/>
      <c r="J332" s="359"/>
    </row>
    <row r="333" spans="1:10" ht="15.75" customHeight="1" x14ac:dyDescent="0.2">
      <c r="A333" s="359"/>
      <c r="B333" s="359"/>
      <c r="C333" s="359"/>
      <c r="D333" s="359"/>
      <c r="E333" s="359"/>
      <c r="F333" s="359"/>
      <c r="G333" s="359"/>
      <c r="H333" s="359"/>
      <c r="I333" s="359"/>
      <c r="J333" s="359"/>
    </row>
    <row r="334" spans="1:10" ht="15.75" customHeight="1" x14ac:dyDescent="0.2">
      <c r="A334" s="359"/>
      <c r="B334" s="359"/>
      <c r="C334" s="359"/>
      <c r="D334" s="359"/>
      <c r="E334" s="359"/>
      <c r="F334" s="359"/>
      <c r="G334" s="359"/>
      <c r="H334" s="359"/>
      <c r="I334" s="359"/>
      <c r="J334" s="359"/>
    </row>
    <row r="335" spans="1:10" ht="15.75" customHeight="1" x14ac:dyDescent="0.2">
      <c r="A335" s="359"/>
      <c r="B335" s="359"/>
      <c r="C335" s="359"/>
      <c r="D335" s="359"/>
      <c r="E335" s="359"/>
      <c r="F335" s="359"/>
      <c r="G335" s="359"/>
      <c r="H335" s="359"/>
      <c r="I335" s="359"/>
      <c r="J335" s="359"/>
    </row>
    <row r="336" spans="1:10" ht="15.75" customHeight="1" x14ac:dyDescent="0.2">
      <c r="A336" s="359"/>
      <c r="B336" s="359"/>
      <c r="C336" s="359"/>
      <c r="D336" s="359"/>
      <c r="E336" s="359"/>
      <c r="F336" s="359"/>
      <c r="G336" s="359"/>
      <c r="H336" s="359"/>
      <c r="I336" s="359"/>
      <c r="J336" s="359"/>
    </row>
    <row r="337" spans="1:11" x14ac:dyDescent="0.25">
      <c r="A337" s="360"/>
      <c r="B337" s="361"/>
      <c r="C337" s="362"/>
      <c r="D337" s="362"/>
      <c r="E337" s="362"/>
      <c r="F337" s="361"/>
      <c r="G337" s="363"/>
      <c r="H337" s="364"/>
      <c r="I337" s="365"/>
      <c r="J337" s="365"/>
      <c r="K337" s="365"/>
    </row>
  </sheetData>
  <mergeCells count="452">
    <mergeCell ref="A79:J79"/>
    <mergeCell ref="A100:J100"/>
    <mergeCell ref="A224:J224"/>
    <mergeCell ref="B7:D7"/>
    <mergeCell ref="F7:J7"/>
    <mergeCell ref="A8:J8"/>
    <mergeCell ref="A9:J9"/>
    <mergeCell ref="C10:E10"/>
    <mergeCell ref="F10:G10"/>
    <mergeCell ref="A1:H4"/>
    <mergeCell ref="I1:J2"/>
    <mergeCell ref="I3:J4"/>
    <mergeCell ref="A5:E5"/>
    <mergeCell ref="G5:J5"/>
    <mergeCell ref="B6:J6"/>
    <mergeCell ref="A15:J15"/>
    <mergeCell ref="C16:E16"/>
    <mergeCell ref="F16:G16"/>
    <mergeCell ref="C17:E17"/>
    <mergeCell ref="F17:G17"/>
    <mergeCell ref="C18:E18"/>
    <mergeCell ref="F18:G18"/>
    <mergeCell ref="C11:E11"/>
    <mergeCell ref="F11:G11"/>
    <mergeCell ref="C12:E12"/>
    <mergeCell ref="F12:G12"/>
    <mergeCell ref="A13:I13"/>
    <mergeCell ref="A14:J14"/>
    <mergeCell ref="A24:J24"/>
    <mergeCell ref="A25:H25"/>
    <mergeCell ref="I25:J25"/>
    <mergeCell ref="A26:H26"/>
    <mergeCell ref="I26:J26"/>
    <mergeCell ref="A27:H27"/>
    <mergeCell ref="I27:J27"/>
    <mergeCell ref="A19:I19"/>
    <mergeCell ref="A21:H21"/>
    <mergeCell ref="I21:J21"/>
    <mergeCell ref="A22:H22"/>
    <mergeCell ref="I22:J22"/>
    <mergeCell ref="A23:H23"/>
    <mergeCell ref="I23:J23"/>
    <mergeCell ref="C33:E33"/>
    <mergeCell ref="F33:G33"/>
    <mergeCell ref="C34:E34"/>
    <mergeCell ref="F34:G34"/>
    <mergeCell ref="C35:E35"/>
    <mergeCell ref="F35:G35"/>
    <mergeCell ref="A28:J28"/>
    <mergeCell ref="B29:J29"/>
    <mergeCell ref="B30:D30"/>
    <mergeCell ref="F30:J30"/>
    <mergeCell ref="A31:J31"/>
    <mergeCell ref="A32:J32"/>
    <mergeCell ref="C41:E41"/>
    <mergeCell ref="F41:G41"/>
    <mergeCell ref="C42:E42"/>
    <mergeCell ref="F42:G42"/>
    <mergeCell ref="C43:E43"/>
    <mergeCell ref="F43:G43"/>
    <mergeCell ref="A36:I36"/>
    <mergeCell ref="A37:J37"/>
    <mergeCell ref="A38:J38"/>
    <mergeCell ref="C39:E39"/>
    <mergeCell ref="F39:G39"/>
    <mergeCell ref="C40:E40"/>
    <mergeCell ref="F40:G40"/>
    <mergeCell ref="C47:E47"/>
    <mergeCell ref="F47:G47"/>
    <mergeCell ref="C48:E48"/>
    <mergeCell ref="F48:G48"/>
    <mergeCell ref="A49:I49"/>
    <mergeCell ref="A51:H51"/>
    <mergeCell ref="I51:J51"/>
    <mergeCell ref="C44:E44"/>
    <mergeCell ref="F44:G44"/>
    <mergeCell ref="C45:E45"/>
    <mergeCell ref="F45:G45"/>
    <mergeCell ref="C46:E46"/>
    <mergeCell ref="F46:G46"/>
    <mergeCell ref="A56:H56"/>
    <mergeCell ref="I56:J56"/>
    <mergeCell ref="A57:H57"/>
    <mergeCell ref="I57:J57"/>
    <mergeCell ref="B59:J59"/>
    <mergeCell ref="B60:D60"/>
    <mergeCell ref="F60:J60"/>
    <mergeCell ref="A52:H52"/>
    <mergeCell ref="I52:J52"/>
    <mergeCell ref="A53:H53"/>
    <mergeCell ref="I53:J53"/>
    <mergeCell ref="A54:J54"/>
    <mergeCell ref="A55:H55"/>
    <mergeCell ref="I55:J55"/>
    <mergeCell ref="A58:J58"/>
    <mergeCell ref="A67:J67"/>
    <mergeCell ref="C68:E68"/>
    <mergeCell ref="F68:G68"/>
    <mergeCell ref="C69:E69"/>
    <mergeCell ref="F69:G69"/>
    <mergeCell ref="A70:I70"/>
    <mergeCell ref="A62:J62"/>
    <mergeCell ref="C63:E63"/>
    <mergeCell ref="F63:G63"/>
    <mergeCell ref="C64:E64"/>
    <mergeCell ref="F64:G64"/>
    <mergeCell ref="A65:I65"/>
    <mergeCell ref="A76:H76"/>
    <mergeCell ref="I76:J76"/>
    <mergeCell ref="A77:H77"/>
    <mergeCell ref="I77:J77"/>
    <mergeCell ref="A78:H78"/>
    <mergeCell ref="I78:J78"/>
    <mergeCell ref="A72:H72"/>
    <mergeCell ref="I72:J72"/>
    <mergeCell ref="A73:H73"/>
    <mergeCell ref="I73:J73"/>
    <mergeCell ref="A74:H74"/>
    <mergeCell ref="I74:J74"/>
    <mergeCell ref="C85:E85"/>
    <mergeCell ref="F85:G85"/>
    <mergeCell ref="A86:I86"/>
    <mergeCell ref="A88:J88"/>
    <mergeCell ref="C89:E89"/>
    <mergeCell ref="F89:G89"/>
    <mergeCell ref="B80:J80"/>
    <mergeCell ref="B81:D81"/>
    <mergeCell ref="F81:J81"/>
    <mergeCell ref="A83:J83"/>
    <mergeCell ref="C84:E84"/>
    <mergeCell ref="F84:G84"/>
    <mergeCell ref="A94:H94"/>
    <mergeCell ref="I94:J94"/>
    <mergeCell ref="A95:H95"/>
    <mergeCell ref="I95:J95"/>
    <mergeCell ref="A97:H97"/>
    <mergeCell ref="I97:J97"/>
    <mergeCell ref="A90:B90"/>
    <mergeCell ref="C90:E90"/>
    <mergeCell ref="F90:G90"/>
    <mergeCell ref="A91:I91"/>
    <mergeCell ref="A93:H93"/>
    <mergeCell ref="I93:J93"/>
    <mergeCell ref="B102:D102"/>
    <mergeCell ref="F102:J102"/>
    <mergeCell ref="A104:J104"/>
    <mergeCell ref="C105:E105"/>
    <mergeCell ref="F105:G105"/>
    <mergeCell ref="C106:E106"/>
    <mergeCell ref="F106:G106"/>
    <mergeCell ref="A98:H98"/>
    <mergeCell ref="I98:J98"/>
    <mergeCell ref="A99:H99"/>
    <mergeCell ref="I99:J99"/>
    <mergeCell ref="A112:H112"/>
    <mergeCell ref="I112:J112"/>
    <mergeCell ref="A114:H114"/>
    <mergeCell ref="I114:J114"/>
    <mergeCell ref="A115:H115"/>
    <mergeCell ref="I115:J115"/>
    <mergeCell ref="C107:E107"/>
    <mergeCell ref="F107:G107"/>
    <mergeCell ref="A108:I108"/>
    <mergeCell ref="A110:H110"/>
    <mergeCell ref="I110:J110"/>
    <mergeCell ref="A111:H111"/>
    <mergeCell ref="I111:J111"/>
    <mergeCell ref="C122:E122"/>
    <mergeCell ref="F122:G122"/>
    <mergeCell ref="C123:E123"/>
    <mergeCell ref="F123:G123"/>
    <mergeCell ref="C124:E124"/>
    <mergeCell ref="F124:G124"/>
    <mergeCell ref="A116:H116"/>
    <mergeCell ref="I116:J116"/>
    <mergeCell ref="B118:J118"/>
    <mergeCell ref="B119:D119"/>
    <mergeCell ref="F119:J119"/>
    <mergeCell ref="A121:J121"/>
    <mergeCell ref="A117:J117"/>
    <mergeCell ref="C131:E131"/>
    <mergeCell ref="C132:E132"/>
    <mergeCell ref="A133:I133"/>
    <mergeCell ref="A135:H135"/>
    <mergeCell ref="I135:J135"/>
    <mergeCell ref="A136:H136"/>
    <mergeCell ref="I136:J136"/>
    <mergeCell ref="A125:I125"/>
    <mergeCell ref="A127:J127"/>
    <mergeCell ref="C128:E128"/>
    <mergeCell ref="F128:G128"/>
    <mergeCell ref="C129:E129"/>
    <mergeCell ref="C130:E130"/>
    <mergeCell ref="A141:H141"/>
    <mergeCell ref="I141:J141"/>
    <mergeCell ref="B143:J143"/>
    <mergeCell ref="B144:D144"/>
    <mergeCell ref="F144:J144"/>
    <mergeCell ref="A146:J146"/>
    <mergeCell ref="A137:H137"/>
    <mergeCell ref="I137:J137"/>
    <mergeCell ref="A139:H139"/>
    <mergeCell ref="I139:J139"/>
    <mergeCell ref="A140:H140"/>
    <mergeCell ref="I140:J140"/>
    <mergeCell ref="A150:I150"/>
    <mergeCell ref="A152:H152"/>
    <mergeCell ref="I152:J152"/>
    <mergeCell ref="A153:H153"/>
    <mergeCell ref="I153:J153"/>
    <mergeCell ref="A154:H154"/>
    <mergeCell ref="I154:J154"/>
    <mergeCell ref="C147:E147"/>
    <mergeCell ref="F147:G147"/>
    <mergeCell ref="C148:E148"/>
    <mergeCell ref="F148:G148"/>
    <mergeCell ref="C149:E149"/>
    <mergeCell ref="F149:G149"/>
    <mergeCell ref="B161:D161"/>
    <mergeCell ref="F161:J161"/>
    <mergeCell ref="A163:J163"/>
    <mergeCell ref="C164:E164"/>
    <mergeCell ref="F164:G164"/>
    <mergeCell ref="C165:E165"/>
    <mergeCell ref="F165:G165"/>
    <mergeCell ref="A156:H156"/>
    <mergeCell ref="I156:J156"/>
    <mergeCell ref="A157:H157"/>
    <mergeCell ref="I157:J157"/>
    <mergeCell ref="A158:H158"/>
    <mergeCell ref="I158:J158"/>
    <mergeCell ref="A171:H171"/>
    <mergeCell ref="I171:J171"/>
    <mergeCell ref="A173:H173"/>
    <mergeCell ref="I173:J173"/>
    <mergeCell ref="A174:H174"/>
    <mergeCell ref="I174:J174"/>
    <mergeCell ref="C166:E166"/>
    <mergeCell ref="F166:G166"/>
    <mergeCell ref="A167:I167"/>
    <mergeCell ref="A169:H169"/>
    <mergeCell ref="I169:J169"/>
    <mergeCell ref="A170:H170"/>
    <mergeCell ref="I170:J170"/>
    <mergeCell ref="C181:E181"/>
    <mergeCell ref="F181:G181"/>
    <mergeCell ref="C182:E182"/>
    <mergeCell ref="F182:G182"/>
    <mergeCell ref="C183:E183"/>
    <mergeCell ref="F183:G183"/>
    <mergeCell ref="A175:H175"/>
    <mergeCell ref="I175:J175"/>
    <mergeCell ref="B177:J177"/>
    <mergeCell ref="B178:D178"/>
    <mergeCell ref="F178:J178"/>
    <mergeCell ref="A180:J180"/>
    <mergeCell ref="A192:H192"/>
    <mergeCell ref="I192:J192"/>
    <mergeCell ref="A193:H193"/>
    <mergeCell ref="I193:J193"/>
    <mergeCell ref="A195:H195"/>
    <mergeCell ref="I195:J195"/>
    <mergeCell ref="A184:I184"/>
    <mergeCell ref="A186:J186"/>
    <mergeCell ref="C187:E187"/>
    <mergeCell ref="C188:E188"/>
    <mergeCell ref="A189:I189"/>
    <mergeCell ref="A191:H191"/>
    <mergeCell ref="I191:J191"/>
    <mergeCell ref="A202:J202"/>
    <mergeCell ref="C203:E203"/>
    <mergeCell ref="F203:G203"/>
    <mergeCell ref="C204:E204"/>
    <mergeCell ref="F204:G204"/>
    <mergeCell ref="C205:E205"/>
    <mergeCell ref="F205:G205"/>
    <mergeCell ref="A196:H196"/>
    <mergeCell ref="I196:J196"/>
    <mergeCell ref="A197:H197"/>
    <mergeCell ref="I197:J197"/>
    <mergeCell ref="B199:J199"/>
    <mergeCell ref="B200:D200"/>
    <mergeCell ref="F200:J200"/>
    <mergeCell ref="C211:E211"/>
    <mergeCell ref="F211:G211"/>
    <mergeCell ref="C212:E212"/>
    <mergeCell ref="F212:G212"/>
    <mergeCell ref="C213:E213"/>
    <mergeCell ref="F213:G213"/>
    <mergeCell ref="A206:I206"/>
    <mergeCell ref="A208:J208"/>
    <mergeCell ref="C209:E209"/>
    <mergeCell ref="F209:G209"/>
    <mergeCell ref="C210:E210"/>
    <mergeCell ref="F210:G210"/>
    <mergeCell ref="A219:H219"/>
    <mergeCell ref="I219:J219"/>
    <mergeCell ref="A221:H221"/>
    <mergeCell ref="I221:J221"/>
    <mergeCell ref="A222:H222"/>
    <mergeCell ref="I222:J222"/>
    <mergeCell ref="C214:E214"/>
    <mergeCell ref="F214:G214"/>
    <mergeCell ref="A215:I215"/>
    <mergeCell ref="A217:H217"/>
    <mergeCell ref="I217:J217"/>
    <mergeCell ref="A218:H218"/>
    <mergeCell ref="I218:J218"/>
    <mergeCell ref="C229:E229"/>
    <mergeCell ref="F229:G229"/>
    <mergeCell ref="C230:E230"/>
    <mergeCell ref="F230:G230"/>
    <mergeCell ref="C231:E231"/>
    <mergeCell ref="F231:G231"/>
    <mergeCell ref="A223:H223"/>
    <mergeCell ref="I223:J223"/>
    <mergeCell ref="B225:J225"/>
    <mergeCell ref="B226:D226"/>
    <mergeCell ref="F226:J226"/>
    <mergeCell ref="A228:J228"/>
    <mergeCell ref="C237:E237"/>
    <mergeCell ref="F237:G237"/>
    <mergeCell ref="C238:E238"/>
    <mergeCell ref="F238:G238"/>
    <mergeCell ref="C239:E239"/>
    <mergeCell ref="F239:G239"/>
    <mergeCell ref="A232:I232"/>
    <mergeCell ref="A234:J234"/>
    <mergeCell ref="C235:E235"/>
    <mergeCell ref="F235:G235"/>
    <mergeCell ref="C236:E236"/>
    <mergeCell ref="F236:G236"/>
    <mergeCell ref="A245:H245"/>
    <mergeCell ref="I245:J245"/>
    <mergeCell ref="A247:H247"/>
    <mergeCell ref="I247:J247"/>
    <mergeCell ref="A248:H248"/>
    <mergeCell ref="I248:J248"/>
    <mergeCell ref="C240:E240"/>
    <mergeCell ref="F240:G240"/>
    <mergeCell ref="A241:I241"/>
    <mergeCell ref="A243:H243"/>
    <mergeCell ref="I243:J243"/>
    <mergeCell ref="A244:H244"/>
    <mergeCell ref="I244:J244"/>
    <mergeCell ref="A254:J254"/>
    <mergeCell ref="C255:E255"/>
    <mergeCell ref="F255:G255"/>
    <mergeCell ref="C256:E256"/>
    <mergeCell ref="F256:G256"/>
    <mergeCell ref="C257:E257"/>
    <mergeCell ref="F257:G257"/>
    <mergeCell ref="A249:H249"/>
    <mergeCell ref="I249:J249"/>
    <mergeCell ref="A250:J250"/>
    <mergeCell ref="B251:J251"/>
    <mergeCell ref="B252:D252"/>
    <mergeCell ref="F252:J252"/>
    <mergeCell ref="C263:E263"/>
    <mergeCell ref="F263:G263"/>
    <mergeCell ref="A264:I264"/>
    <mergeCell ref="A266:H266"/>
    <mergeCell ref="I266:J266"/>
    <mergeCell ref="A267:H267"/>
    <mergeCell ref="I267:J267"/>
    <mergeCell ref="A258:I258"/>
    <mergeCell ref="A260:J260"/>
    <mergeCell ref="C261:E261"/>
    <mergeCell ref="F261:G261"/>
    <mergeCell ref="C262:E262"/>
    <mergeCell ref="F262:G262"/>
    <mergeCell ref="A272:H272"/>
    <mergeCell ref="I272:J272"/>
    <mergeCell ref="B274:J274"/>
    <mergeCell ref="B275:D275"/>
    <mergeCell ref="F275:J275"/>
    <mergeCell ref="A277:J277"/>
    <mergeCell ref="A268:H268"/>
    <mergeCell ref="I268:J268"/>
    <mergeCell ref="A270:H270"/>
    <mergeCell ref="I270:J270"/>
    <mergeCell ref="A271:H271"/>
    <mergeCell ref="I271:J271"/>
    <mergeCell ref="A281:I281"/>
    <mergeCell ref="A283:J283"/>
    <mergeCell ref="C284:E284"/>
    <mergeCell ref="F284:G284"/>
    <mergeCell ref="C285:E285"/>
    <mergeCell ref="F285:G285"/>
    <mergeCell ref="C278:E278"/>
    <mergeCell ref="F278:G278"/>
    <mergeCell ref="C279:E279"/>
    <mergeCell ref="F279:G279"/>
    <mergeCell ref="C280:E280"/>
    <mergeCell ref="F280:G280"/>
    <mergeCell ref="A290:H290"/>
    <mergeCell ref="I290:J290"/>
    <mergeCell ref="A292:H292"/>
    <mergeCell ref="I292:J292"/>
    <mergeCell ref="A293:H293"/>
    <mergeCell ref="I293:J293"/>
    <mergeCell ref="A286:I286"/>
    <mergeCell ref="A287:J287"/>
    <mergeCell ref="A288:H288"/>
    <mergeCell ref="I288:J288"/>
    <mergeCell ref="A289:H289"/>
    <mergeCell ref="I289:J289"/>
    <mergeCell ref="C300:E300"/>
    <mergeCell ref="F300:G300"/>
    <mergeCell ref="C301:E301"/>
    <mergeCell ref="F301:G301"/>
    <mergeCell ref="C302:E302"/>
    <mergeCell ref="F302:G302"/>
    <mergeCell ref="A294:H294"/>
    <mergeCell ref="I294:J294"/>
    <mergeCell ref="B296:J296"/>
    <mergeCell ref="B297:D297"/>
    <mergeCell ref="F297:J297"/>
    <mergeCell ref="A299:J299"/>
    <mergeCell ref="A312:H312"/>
    <mergeCell ref="I312:J312"/>
    <mergeCell ref="A303:I303"/>
    <mergeCell ref="A304:J304"/>
    <mergeCell ref="A305:J305"/>
    <mergeCell ref="C306:E306"/>
    <mergeCell ref="F306:G306"/>
    <mergeCell ref="C307:E307"/>
    <mergeCell ref="F307:G307"/>
    <mergeCell ref="B101:J101"/>
    <mergeCell ref="A142:J142"/>
    <mergeCell ref="A159:J159"/>
    <mergeCell ref="B160:J160"/>
    <mergeCell ref="A176:J176"/>
    <mergeCell ref="A198:J198"/>
    <mergeCell ref="A317:H317"/>
    <mergeCell ref="I317:J317"/>
    <mergeCell ref="A318:H318"/>
    <mergeCell ref="I318:J318"/>
    <mergeCell ref="A273:J273"/>
    <mergeCell ref="A295:J295"/>
    <mergeCell ref="A313:H313"/>
    <mergeCell ref="I313:J313"/>
    <mergeCell ref="A314:H314"/>
    <mergeCell ref="I314:J314"/>
    <mergeCell ref="A315:J315"/>
    <mergeCell ref="A316:H316"/>
    <mergeCell ref="I316:J316"/>
    <mergeCell ref="C308:E308"/>
    <mergeCell ref="F308:G308"/>
    <mergeCell ref="C309:E309"/>
    <mergeCell ref="F309:G309"/>
    <mergeCell ref="A310:I310"/>
  </mergeCells>
  <printOptions horizontalCentered="1" gridLines="1"/>
  <pageMargins left="0.59055118110236227" right="0.59055118110236227" top="0.78740157480314965" bottom="0.78740157480314965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CAPA</vt:lpstr>
      <vt:lpstr>PLANILHA ORÇAMENTÁRIA</vt:lpstr>
      <vt:lpstr>MEMÓRIA DE CÁLCULO</vt:lpstr>
      <vt:lpstr>CRONOGRAMA FÍSICO-FINANCEIRO</vt:lpstr>
      <vt:lpstr>COMPOSIÇÃO ANALÍTICA DOS PREÇOS</vt:lpstr>
      <vt:lpstr>CAPA!Area_de_impressao</vt:lpstr>
      <vt:lpstr>'COMPOSIÇÃO ANALÍTICA DOS PREÇOS'!Area_de_impressao</vt:lpstr>
      <vt:lpstr>'CRONOGRAMA FÍSICO-FINANCEIRO'!Area_de_impressao</vt:lpstr>
      <vt:lpstr>'MEMÓRIA DE CÁLCULO'!Area_de_impressao</vt:lpstr>
      <vt:lpstr>'PLANILHA ORÇAMENTÁRIA'!Area_de_impressao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Dominicini</dc:creator>
  <cp:lastModifiedBy>Usuário do Windows</cp:lastModifiedBy>
  <cp:lastPrinted>2019-01-29T16:07:26Z</cp:lastPrinted>
  <dcterms:created xsi:type="dcterms:W3CDTF">2018-09-06T18:07:14Z</dcterms:created>
  <dcterms:modified xsi:type="dcterms:W3CDTF">2019-01-29T16:20:54Z</dcterms:modified>
</cp:coreProperties>
</file>