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rcelo.magnago\Desktop\00001 SISTEMA DE ABASTECIMENTO\"/>
    </mc:Choice>
  </mc:AlternateContent>
  <xr:revisionPtr revIDLastSave="0" documentId="8_{DA7B1A47-C640-4EEB-91C8-0DB632CB1364}" xr6:coauthVersionLast="36" xr6:coauthVersionMax="36" xr10:uidLastSave="{00000000-0000-0000-0000-000000000000}"/>
  <bookViews>
    <workbookView xWindow="360" yWindow="60" windowWidth="9720" windowHeight="6030" tabRatio="888" activeTab="19"/>
  </bookViews>
  <sheets>
    <sheet name="COMP 1" sheetId="3" r:id="rId1"/>
    <sheet name="COMP 02" sheetId="6" r:id="rId2"/>
    <sheet name="COMP 3" sheetId="4" r:id="rId3"/>
    <sheet name="COMP 4" sheetId="17" r:id="rId4"/>
    <sheet name="COMP 5" sheetId="9" r:id="rId5"/>
    <sheet name="COMP 6 " sheetId="21" r:id="rId6"/>
    <sheet name="COMP 7" sheetId="13" r:id="rId7"/>
    <sheet name="COMP 8" sheetId="14" r:id="rId8"/>
    <sheet name="COMP 9" sheetId="15" r:id="rId9"/>
    <sheet name="COMP 10" sheetId="16" r:id="rId10"/>
    <sheet name="COMP 11" sheetId="19" r:id="rId11"/>
    <sheet name="COMP 12" sheetId="1" r:id="rId12"/>
    <sheet name="COMP 13" sheetId="10" r:id="rId13"/>
    <sheet name="COMP 14" sheetId="5" r:id="rId14"/>
    <sheet name="COMP 15" sheetId="2" r:id="rId15"/>
    <sheet name="COMP 16" sheetId="23" r:id="rId16"/>
    <sheet name="COMP 17" sheetId="22" r:id="rId17"/>
    <sheet name="COMP 18" sheetId="7" r:id="rId18"/>
    <sheet name="COMP 19" sheetId="11" r:id="rId19"/>
    <sheet name="COMP 20" sheetId="12" r:id="rId20"/>
  </sheets>
  <definedNames>
    <definedName name="_xlnm.Print_Area" localSheetId="1">'COMP 02'!$A$1:$E$41</definedName>
    <definedName name="_xlnm.Print_Area" localSheetId="11">'COMP 12'!$A$1:$E$52</definedName>
    <definedName name="_xlnm.Print_Area" localSheetId="14">'COMP 15'!$A$1:$E$18</definedName>
    <definedName name="_xlnm.Print_Area" localSheetId="16">'COMP 17'!$A$1:$E$18</definedName>
    <definedName name="_xlnm.Print_Area" localSheetId="2">'COMP 3'!$A$1:$F$40</definedName>
  </definedNames>
  <calcPr calcId="162913"/>
</workbook>
</file>

<file path=xl/calcChain.xml><?xml version="1.0" encoding="utf-8"?>
<calcChain xmlns="http://schemas.openxmlformats.org/spreadsheetml/2006/main">
  <c r="E16" i="23" l="1"/>
  <c r="E12" i="23"/>
  <c r="F12" i="23"/>
  <c r="E14" i="23"/>
  <c r="E11" i="23"/>
  <c r="E10" i="23"/>
  <c r="E9" i="23"/>
  <c r="F9" i="23" s="1"/>
  <c r="E8" i="23"/>
  <c r="E7" i="23"/>
  <c r="E6" i="23"/>
  <c r="F6" i="23"/>
  <c r="F18" i="23" s="1"/>
  <c r="F16" i="23"/>
  <c r="E15" i="23"/>
  <c r="F15" i="23"/>
  <c r="F14" i="23"/>
  <c r="F13" i="23"/>
  <c r="F11" i="23"/>
  <c r="F10" i="23"/>
  <c r="F8" i="23"/>
  <c r="F7" i="23"/>
  <c r="F18" i="22"/>
  <c r="E18" i="22"/>
  <c r="F17" i="22"/>
  <c r="E16" i="22"/>
  <c r="F16" i="22"/>
  <c r="E15" i="22"/>
  <c r="F15" i="22"/>
  <c r="E14" i="22"/>
  <c r="F14" i="22"/>
  <c r="E13" i="22"/>
  <c r="F13" i="22"/>
  <c r="E12" i="22"/>
  <c r="F12" i="22"/>
  <c r="E11" i="22"/>
  <c r="F11" i="22"/>
  <c r="E10" i="22"/>
  <c r="F10" i="22"/>
  <c r="E9" i="22"/>
  <c r="F9" i="22"/>
  <c r="E8" i="22"/>
  <c r="F8" i="22"/>
  <c r="E7" i="22"/>
  <c r="F7" i="22"/>
  <c r="E6" i="22"/>
  <c r="F6" i="22"/>
  <c r="F5" i="22"/>
  <c r="E28" i="21"/>
  <c r="F28" i="21" s="1"/>
  <c r="E36" i="21"/>
  <c r="F36" i="21"/>
  <c r="E26" i="21"/>
  <c r="F26" i="21" s="1"/>
  <c r="E24" i="21"/>
  <c r="F24" i="21"/>
  <c r="E23" i="21"/>
  <c r="F23" i="21"/>
  <c r="E20" i="21"/>
  <c r="F20" i="21"/>
  <c r="E46" i="21"/>
  <c r="E45" i="21"/>
  <c r="F45" i="21" s="1"/>
  <c r="E44" i="21"/>
  <c r="F44" i="21"/>
  <c r="F46" i="21"/>
  <c r="E48" i="21"/>
  <c r="F48" i="21" s="1"/>
  <c r="E22" i="21"/>
  <c r="E18" i="21"/>
  <c r="F18" i="21"/>
  <c r="E41" i="21"/>
  <c r="F41" i="21" s="1"/>
  <c r="E43" i="21"/>
  <c r="E42" i="21"/>
  <c r="E25" i="21"/>
  <c r="F25" i="21" s="1"/>
  <c r="E31" i="21"/>
  <c r="F31" i="21"/>
  <c r="E49" i="21"/>
  <c r="F49" i="21" s="1"/>
  <c r="E17" i="21"/>
  <c r="F17" i="21"/>
  <c r="E15" i="21"/>
  <c r="F15" i="21" s="1"/>
  <c r="E14" i="21"/>
  <c r="F14" i="21"/>
  <c r="E52" i="21"/>
  <c r="F52" i="21" s="1"/>
  <c r="E51" i="21"/>
  <c r="F51" i="21"/>
  <c r="E50" i="21"/>
  <c r="F50" i="21" s="1"/>
  <c r="E13" i="21"/>
  <c r="E12" i="21"/>
  <c r="F12" i="21"/>
  <c r="E11" i="21"/>
  <c r="F11" i="21"/>
  <c r="E10" i="21"/>
  <c r="F10" i="21" s="1"/>
  <c r="E9" i="21"/>
  <c r="F9" i="21" s="1"/>
  <c r="E8" i="21"/>
  <c r="F8" i="21"/>
  <c r="E7" i="21"/>
  <c r="F7" i="21"/>
  <c r="E6" i="21"/>
  <c r="F6" i="21"/>
  <c r="F16" i="21"/>
  <c r="F19" i="21"/>
  <c r="F22" i="21"/>
  <c r="F27" i="21"/>
  <c r="F29" i="21"/>
  <c r="F30" i="21"/>
  <c r="F32" i="21"/>
  <c r="F33" i="21"/>
  <c r="F34" i="21"/>
  <c r="F35" i="21"/>
  <c r="F37" i="21"/>
  <c r="F38" i="21"/>
  <c r="F39" i="21"/>
  <c r="F40" i="21"/>
  <c r="F42" i="21"/>
  <c r="F43" i="21"/>
  <c r="F47" i="21"/>
  <c r="F13" i="21"/>
  <c r="E54" i="21"/>
  <c r="F54" i="21"/>
  <c r="E53" i="21"/>
  <c r="F53" i="21"/>
  <c r="E9" i="19"/>
  <c r="E8" i="19"/>
  <c r="F8" i="19" s="1"/>
  <c r="E7" i="19"/>
  <c r="E6" i="19"/>
  <c r="F6" i="19" s="1"/>
  <c r="F15" i="19" s="1"/>
  <c r="F9" i="19"/>
  <c r="E11" i="19"/>
  <c r="F11" i="19" s="1"/>
  <c r="E13" i="19"/>
  <c r="F13" i="19"/>
  <c r="E12" i="19"/>
  <c r="F12" i="19"/>
  <c r="F10" i="19"/>
  <c r="F7" i="19"/>
  <c r="E10" i="17"/>
  <c r="E9" i="17"/>
  <c r="E8" i="17"/>
  <c r="F8" i="17"/>
  <c r="F12" i="17" s="1"/>
  <c r="E7" i="17"/>
  <c r="F7" i="17" s="1"/>
  <c r="E6" i="17"/>
  <c r="F6" i="17"/>
  <c r="F10" i="17"/>
  <c r="F9" i="17"/>
  <c r="E17" i="14"/>
  <c r="F17" i="14" s="1"/>
  <c r="E19" i="14"/>
  <c r="E13" i="14"/>
  <c r="F13" i="14" s="1"/>
  <c r="E14" i="14"/>
  <c r="E16" i="14"/>
  <c r="E12" i="14"/>
  <c r="F12" i="14" s="1"/>
  <c r="E10" i="14"/>
  <c r="F10" i="14" s="1"/>
  <c r="E11" i="14"/>
  <c r="E7" i="14"/>
  <c r="F7" i="14"/>
  <c r="E21" i="14"/>
  <c r="F21" i="14" s="1"/>
  <c r="E22" i="14"/>
  <c r="F22" i="14" s="1"/>
  <c r="E23" i="14"/>
  <c r="F23" i="14" s="1"/>
  <c r="E8" i="14"/>
  <c r="F8" i="14" s="1"/>
  <c r="E6" i="14"/>
  <c r="F6" i="14"/>
  <c r="F24" i="15"/>
  <c r="F25" i="15"/>
  <c r="F26" i="15"/>
  <c r="F23" i="15"/>
  <c r="F21" i="15"/>
  <c r="E22" i="15"/>
  <c r="F22" i="15" s="1"/>
  <c r="E23" i="13"/>
  <c r="E8" i="15"/>
  <c r="E22" i="13"/>
  <c r="F22" i="13"/>
  <c r="E17" i="13"/>
  <c r="F17" i="13" s="1"/>
  <c r="E16" i="13"/>
  <c r="F16" i="13"/>
  <c r="F12" i="13"/>
  <c r="E12" i="13"/>
  <c r="E11" i="13"/>
  <c r="F11" i="13"/>
  <c r="E9" i="13"/>
  <c r="F9" i="13" s="1"/>
  <c r="E8" i="13"/>
  <c r="F8" i="13"/>
  <c r="E7" i="13"/>
  <c r="F7" i="13" s="1"/>
  <c r="F25" i="13" s="1"/>
  <c r="E20" i="15"/>
  <c r="F20" i="15"/>
  <c r="E19" i="15"/>
  <c r="F19" i="15" s="1"/>
  <c r="E18" i="15"/>
  <c r="F18" i="15"/>
  <c r="E17" i="15"/>
  <c r="F17" i="15" s="1"/>
  <c r="E16" i="15"/>
  <c r="F16" i="15"/>
  <c r="E15" i="15"/>
  <c r="F15" i="15" s="1"/>
  <c r="E14" i="15"/>
  <c r="F14" i="15"/>
  <c r="E13" i="15"/>
  <c r="F13" i="15" s="1"/>
  <c r="E12" i="15"/>
  <c r="F12" i="15" s="1"/>
  <c r="E11" i="15"/>
  <c r="F11" i="15" s="1"/>
  <c r="E7" i="15"/>
  <c r="F7" i="15"/>
  <c r="E6" i="15"/>
  <c r="F6" i="15" s="1"/>
  <c r="F18" i="13"/>
  <c r="F19" i="13"/>
  <c r="F20" i="13"/>
  <c r="F21" i="13"/>
  <c r="F23" i="13"/>
  <c r="F15" i="13"/>
  <c r="F14" i="13"/>
  <c r="F13" i="13"/>
  <c r="F10" i="13"/>
  <c r="F6" i="13"/>
  <c r="F14" i="14"/>
  <c r="F15" i="14"/>
  <c r="F16" i="14"/>
  <c r="F18" i="14"/>
  <c r="F19" i="14"/>
  <c r="F20" i="14"/>
  <c r="E24" i="14"/>
  <c r="F24" i="14"/>
  <c r="F11" i="14"/>
  <c r="F9" i="14"/>
  <c r="E27" i="15"/>
  <c r="F27" i="15" s="1"/>
  <c r="F10" i="15"/>
  <c r="F9" i="15"/>
  <c r="F8" i="15"/>
  <c r="E14" i="16"/>
  <c r="F14" i="16"/>
  <c r="F13" i="16"/>
  <c r="F12" i="16"/>
  <c r="F11" i="16"/>
  <c r="F10" i="16"/>
  <c r="F9" i="16"/>
  <c r="F8" i="16"/>
  <c r="F7" i="16"/>
  <c r="F6" i="16"/>
  <c r="F16" i="16" s="1"/>
  <c r="E9" i="12"/>
  <c r="F9" i="12" s="1"/>
  <c r="E7" i="12"/>
  <c r="F7" i="12"/>
  <c r="F20" i="12"/>
  <c r="F18" i="12"/>
  <c r="F19" i="12"/>
  <c r="F17" i="12"/>
  <c r="E22" i="12"/>
  <c r="F22" i="12" s="1"/>
  <c r="E21" i="12"/>
  <c r="F21" i="12"/>
  <c r="F15" i="11"/>
  <c r="F12" i="11"/>
  <c r="E15" i="11"/>
  <c r="E14" i="11"/>
  <c r="F14" i="11" s="1"/>
  <c r="E9" i="11"/>
  <c r="F9" i="11" s="1"/>
  <c r="E8" i="11"/>
  <c r="F8" i="11"/>
  <c r="E7" i="11"/>
  <c r="F7" i="11" s="1"/>
  <c r="E6" i="11"/>
  <c r="F6" i="11" s="1"/>
  <c r="F16" i="12"/>
  <c r="F15" i="12"/>
  <c r="F14" i="12"/>
  <c r="F13" i="12"/>
  <c r="F12" i="12"/>
  <c r="F11" i="12"/>
  <c r="F10" i="12"/>
  <c r="F8" i="12"/>
  <c r="F6" i="12"/>
  <c r="F24" i="12" s="1"/>
  <c r="F10" i="11"/>
  <c r="F11" i="11"/>
  <c r="F13" i="11"/>
  <c r="F52" i="10"/>
  <c r="F53" i="10"/>
  <c r="F54" i="10"/>
  <c r="F55" i="10"/>
  <c r="F51" i="10"/>
  <c r="F31" i="10"/>
  <c r="F40" i="10" s="1"/>
  <c r="F25" i="10"/>
  <c r="F24" i="10"/>
  <c r="F23" i="10"/>
  <c r="E22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26" i="10" s="1"/>
  <c r="F9" i="10"/>
  <c r="E21" i="6"/>
  <c r="F21" i="6"/>
  <c r="E23" i="6"/>
  <c r="F23" i="6" s="1"/>
  <c r="E22" i="6"/>
  <c r="F22" i="6"/>
  <c r="E11" i="6"/>
  <c r="F11" i="6" s="1"/>
  <c r="E17" i="6"/>
  <c r="F17" i="6"/>
  <c r="E18" i="6"/>
  <c r="F18" i="6" s="1"/>
  <c r="E13" i="6"/>
  <c r="F13" i="6"/>
  <c r="F7" i="6"/>
  <c r="F8" i="6"/>
  <c r="F9" i="6"/>
  <c r="F10" i="6"/>
  <c r="F12" i="6"/>
  <c r="F14" i="6"/>
  <c r="F15" i="6"/>
  <c r="F16" i="6"/>
  <c r="F19" i="6"/>
  <c r="F20" i="6"/>
  <c r="F6" i="6"/>
  <c r="E31" i="9"/>
  <c r="F31" i="9" s="1"/>
  <c r="F40" i="9" s="1"/>
  <c r="E22" i="9"/>
  <c r="F50" i="9"/>
  <c r="F51" i="9"/>
  <c r="F52" i="9"/>
  <c r="F53" i="9"/>
  <c r="F54" i="9"/>
  <c r="F55" i="9"/>
  <c r="F49" i="9"/>
  <c r="F33" i="9"/>
  <c r="F34" i="9"/>
  <c r="F35" i="9"/>
  <c r="F36" i="9"/>
  <c r="F32" i="9"/>
  <c r="F38" i="9"/>
  <c r="F39" i="9"/>
  <c r="F37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9" i="9"/>
  <c r="F26" i="9" s="1"/>
  <c r="E38" i="4"/>
  <c r="F38" i="4" s="1"/>
  <c r="E13" i="4"/>
  <c r="F13" i="4"/>
  <c r="E15" i="4"/>
  <c r="F15" i="4" s="1"/>
  <c r="E14" i="4"/>
  <c r="F14" i="4"/>
  <c r="E16" i="4"/>
  <c r="F16" i="4" s="1"/>
  <c r="E17" i="4"/>
  <c r="F17" i="4"/>
  <c r="E23" i="4"/>
  <c r="F23" i="4" s="1"/>
  <c r="E29" i="4"/>
  <c r="F29" i="4"/>
  <c r="E28" i="4"/>
  <c r="F28" i="4" s="1"/>
  <c r="E36" i="4"/>
  <c r="F36" i="4"/>
  <c r="E35" i="4"/>
  <c r="F35" i="4" s="1"/>
  <c r="E34" i="4"/>
  <c r="F34" i="4"/>
  <c r="E37" i="4"/>
  <c r="F37" i="4" s="1"/>
  <c r="E33" i="4"/>
  <c r="F33" i="4"/>
  <c r="E32" i="4"/>
  <c r="F32" i="4" s="1"/>
  <c r="E31" i="4"/>
  <c r="F31" i="4"/>
  <c r="E30" i="4"/>
  <c r="F30" i="4" s="1"/>
  <c r="E27" i="4"/>
  <c r="F27" i="4"/>
  <c r="E26" i="4"/>
  <c r="F26" i="4" s="1"/>
  <c r="E25" i="4"/>
  <c r="F25" i="4"/>
  <c r="E24" i="4"/>
  <c r="F24" i="4" s="1"/>
  <c r="E22" i="4"/>
  <c r="F22" i="4"/>
  <c r="E21" i="4"/>
  <c r="F21" i="4" s="1"/>
  <c r="E20" i="4"/>
  <c r="F20" i="4"/>
  <c r="E19" i="4"/>
  <c r="F19" i="4" s="1"/>
  <c r="E18" i="4"/>
  <c r="F18" i="4"/>
  <c r="E12" i="4"/>
  <c r="F12" i="4" s="1"/>
  <c r="E11" i="4"/>
  <c r="F11" i="4"/>
  <c r="E10" i="4"/>
  <c r="F10" i="4" s="1"/>
  <c r="E9" i="4"/>
  <c r="F9" i="4" s="1"/>
  <c r="E8" i="4"/>
  <c r="F8" i="4" s="1"/>
  <c r="E7" i="4"/>
  <c r="F7" i="4"/>
  <c r="E6" i="4"/>
  <c r="F6" i="4" s="1"/>
  <c r="E17" i="1"/>
  <c r="F17" i="1"/>
  <c r="E16" i="1"/>
  <c r="F16" i="1" s="1"/>
  <c r="E10" i="1"/>
  <c r="F10" i="1"/>
  <c r="E39" i="4"/>
  <c r="F39" i="4" s="1"/>
  <c r="E26" i="5"/>
  <c r="F26" i="5"/>
  <c r="E47" i="1"/>
  <c r="E23" i="5"/>
  <c r="F23" i="5"/>
  <c r="E24" i="5"/>
  <c r="F24" i="5" s="1"/>
  <c r="E25" i="5"/>
  <c r="F25" i="5"/>
  <c r="E22" i="5"/>
  <c r="F22" i="5" s="1"/>
  <c r="E21" i="5"/>
  <c r="F21" i="5"/>
  <c r="E20" i="5"/>
  <c r="F20" i="5" s="1"/>
  <c r="E19" i="5"/>
  <c r="F19" i="5"/>
  <c r="E18" i="5"/>
  <c r="F18" i="5" s="1"/>
  <c r="E17" i="5"/>
  <c r="F17" i="5"/>
  <c r="E16" i="5"/>
  <c r="F16" i="5" s="1"/>
  <c r="E15" i="5"/>
  <c r="F15" i="5"/>
  <c r="E14" i="5"/>
  <c r="F14" i="5" s="1"/>
  <c r="E13" i="5"/>
  <c r="F13" i="5"/>
  <c r="E12" i="5"/>
  <c r="F12" i="5" s="1"/>
  <c r="E11" i="5"/>
  <c r="F11" i="5"/>
  <c r="E10" i="5"/>
  <c r="F10" i="5" s="1"/>
  <c r="E8" i="5"/>
  <c r="F8" i="5"/>
  <c r="E7" i="5"/>
  <c r="F7" i="5" s="1"/>
  <c r="E6" i="5"/>
  <c r="F6" i="5"/>
  <c r="E9" i="5"/>
  <c r="F9" i="5" s="1"/>
  <c r="E6" i="7"/>
  <c r="F6" i="7"/>
  <c r="F9" i="7"/>
  <c r="F10" i="7"/>
  <c r="F11" i="7"/>
  <c r="F12" i="7"/>
  <c r="F13" i="7"/>
  <c r="F14" i="7"/>
  <c r="F15" i="7"/>
  <c r="E7" i="7"/>
  <c r="F7" i="7" s="1"/>
  <c r="F17" i="7" s="1"/>
  <c r="E8" i="7"/>
  <c r="F8" i="7"/>
  <c r="E13" i="2"/>
  <c r="F13" i="2" s="1"/>
  <c r="E12" i="2"/>
  <c r="F12" i="2"/>
  <c r="E11" i="2"/>
  <c r="F11" i="2" s="1"/>
  <c r="E10" i="2"/>
  <c r="F10" i="2"/>
  <c r="E9" i="2"/>
  <c r="F9" i="2" s="1"/>
  <c r="E8" i="2"/>
  <c r="F8" i="2"/>
  <c r="E7" i="2"/>
  <c r="F7" i="2" s="1"/>
  <c r="E6" i="2"/>
  <c r="F6" i="2"/>
  <c r="E14" i="2"/>
  <c r="F14" i="2" s="1"/>
  <c r="E15" i="2"/>
  <c r="F15" i="2"/>
  <c r="E16" i="2"/>
  <c r="F16" i="2" s="1"/>
  <c r="E18" i="2"/>
  <c r="F18" i="2"/>
  <c r="F17" i="2"/>
  <c r="F5" i="2"/>
  <c r="E49" i="1"/>
  <c r="F49" i="1"/>
  <c r="F47" i="1"/>
  <c r="E46" i="1"/>
  <c r="F46" i="1" s="1"/>
  <c r="F40" i="1"/>
  <c r="F41" i="1"/>
  <c r="F42" i="1"/>
  <c r="F50" i="1" s="1"/>
  <c r="F43" i="1"/>
  <c r="F44" i="1"/>
  <c r="F39" i="1"/>
  <c r="F26" i="1"/>
  <c r="F35" i="1" s="1"/>
  <c r="F27" i="1"/>
  <c r="F28" i="1"/>
  <c r="F29" i="1"/>
  <c r="F30" i="1"/>
  <c r="F31" i="1"/>
  <c r="F32" i="1"/>
  <c r="F33" i="1"/>
  <c r="F34" i="1"/>
  <c r="F25" i="1"/>
  <c r="F20" i="1"/>
  <c r="E19" i="1"/>
  <c r="F19" i="1" s="1"/>
  <c r="E18" i="1"/>
  <c r="F18" i="1"/>
  <c r="E15" i="1"/>
  <c r="F15" i="1" s="1"/>
  <c r="E14" i="1"/>
  <c r="F14" i="1"/>
  <c r="E13" i="1"/>
  <c r="F13" i="1" s="1"/>
  <c r="E12" i="1"/>
  <c r="F12" i="1"/>
  <c r="E11" i="1"/>
  <c r="F11" i="1" s="1"/>
  <c r="E9" i="1"/>
  <c r="F9" i="1"/>
  <c r="E8" i="1"/>
  <c r="F8" i="1" s="1"/>
  <c r="E7" i="1"/>
  <c r="F7" i="1"/>
  <c r="E6" i="1"/>
  <c r="F6" i="1" s="1"/>
  <c r="F7" i="3"/>
  <c r="F14" i="3" s="1"/>
  <c r="F8" i="3"/>
  <c r="F9" i="3"/>
  <c r="F10" i="3"/>
  <c r="F11" i="3"/>
  <c r="F12" i="3"/>
  <c r="F6" i="3"/>
  <c r="F21" i="21"/>
  <c r="F19" i="22"/>
  <c r="F29" i="15" l="1"/>
  <c r="F19" i="2"/>
  <c r="F25" i="6"/>
  <c r="F40" i="4"/>
  <c r="F56" i="10"/>
  <c r="F58" i="10" s="1"/>
  <c r="F56" i="21"/>
  <c r="F21" i="1"/>
  <c r="F52" i="1" s="1"/>
  <c r="F28" i="5"/>
  <c r="F56" i="9"/>
  <c r="F58" i="9" s="1"/>
  <c r="F17" i="11"/>
  <c r="F26" i="14"/>
</calcChain>
</file>

<file path=xl/sharedStrings.xml><?xml version="1.0" encoding="utf-8"?>
<sst xmlns="http://schemas.openxmlformats.org/spreadsheetml/2006/main" count="1408" uniqueCount="510">
  <si>
    <t>pç</t>
  </si>
  <si>
    <t>m</t>
  </si>
  <si>
    <t>Lâmpada incandescente 100 W 127V</t>
  </si>
  <si>
    <t>Luminária 12 “</t>
  </si>
  <si>
    <t>Condulete T - 3/4”</t>
  </si>
  <si>
    <t>Conector sindal para fio 4mm2</t>
  </si>
  <si>
    <t>Bucha de Nylon Ref. Nº 6</t>
  </si>
  <si>
    <t>Fio de Cobre 750V-70V 2,5mm</t>
  </si>
  <si>
    <t>MÃO DE OBRA PARA INSTALAÇÃO DO FILTRO</t>
  </si>
  <si>
    <t>TRANSPORTE DO FILTRO ATÉ A OBRA</t>
  </si>
  <si>
    <t>Kg</t>
  </si>
  <si>
    <t>M3</t>
  </si>
  <si>
    <t>M2</t>
  </si>
  <si>
    <t>Eletroduto PVC flexível 25mm</t>
  </si>
  <si>
    <t>BARRILETE 2"</t>
  </si>
  <si>
    <t>DESCARGA DE ADUTORA</t>
  </si>
  <si>
    <t>RESERVATÓRIO EM FIBRA DE VIDRO</t>
  </si>
  <si>
    <t>CAIXA PARA PROTEÇÃO DE DESCARGAS</t>
  </si>
  <si>
    <t>CJ</t>
  </si>
  <si>
    <t>Cabo cobre tempera mole 750V - 70C 6mm2</t>
  </si>
  <si>
    <t>H</t>
  </si>
  <si>
    <t>M</t>
  </si>
  <si>
    <t>PÇ</t>
  </si>
  <si>
    <t>Curva 90 PVC rígido eletroduto ¾”</t>
  </si>
  <si>
    <t>Condulete C PVC com interruptor</t>
  </si>
  <si>
    <t>Luva PVC rígido eletroduto ¾”</t>
  </si>
  <si>
    <t>UN</t>
  </si>
  <si>
    <t>CÓDIGO</t>
  </si>
  <si>
    <t>DESCRIÇÃO COMPLETA</t>
  </si>
  <si>
    <t>UNID.</t>
  </si>
  <si>
    <t>QUANT.</t>
  </si>
  <si>
    <t>INSTALAÇÃO ELÉTRICA DA ELEVATÓRIA  - TRIFÁSICA</t>
  </si>
  <si>
    <t>Eletricista</t>
  </si>
  <si>
    <t>FILTRO 3 L/S EM FIBRA DE VIDRO/ 2000</t>
  </si>
  <si>
    <t>Fio de Cobre 750V-70V 4mm</t>
  </si>
  <si>
    <t>Fita Isolante 20metros</t>
  </si>
  <si>
    <t>Braçadeira tipo copo ¾”</t>
  </si>
  <si>
    <t>Eletroduto PVC rígido roscável ¾”</t>
  </si>
  <si>
    <t>BARRILETE 1 1/4" - PARA COMPARTIMENTO DE BOMBAS</t>
  </si>
  <si>
    <t>CASA DE BOMBAS CAPTAÇÃO</t>
  </si>
  <si>
    <t>1.1</t>
  </si>
  <si>
    <t>ILUMINAÇÃO E TOMADAS DE SERVIÇO</t>
  </si>
  <si>
    <t>Quadro de disjuntores de soprepor 8 circuitos norma DIN</t>
  </si>
  <si>
    <t>Disjuntor trifásico 50 A - norma DIN</t>
  </si>
  <si>
    <t>Disjuntor trifásico 32 A - norma DIN</t>
  </si>
  <si>
    <t>Disjuntor monofásico 10 A - norma DIN</t>
  </si>
  <si>
    <t>Disjuntor monofásico 20 A - norma DIN</t>
  </si>
  <si>
    <t>Eletroduto PVC condulete 3/4"</t>
  </si>
  <si>
    <t>Luva PVCeletroduto condulete</t>
  </si>
  <si>
    <t>Curva PVC 90° condulete</t>
  </si>
  <si>
    <t>Caixa condulete 4x2 3/4"</t>
  </si>
  <si>
    <t xml:space="preserve">Tampa condule p/ 1 tomada </t>
  </si>
  <si>
    <t>Tampa condulete p/ 1 interruptor c</t>
  </si>
  <si>
    <t>Tampa condulete cega</t>
  </si>
  <si>
    <t>Luminária comercial - completa 2 x 16w</t>
  </si>
  <si>
    <t>Tomada elétrica 110/220volts 10 A</t>
  </si>
  <si>
    <t>Interruptor 1 sessão 110 volts 10 A</t>
  </si>
  <si>
    <t>Cabo de cobre 2,5mm² 70°</t>
  </si>
  <si>
    <t>Cabo de cobre 1,5mm² 70°</t>
  </si>
  <si>
    <t>1.2</t>
  </si>
  <si>
    <t>PADRÃO TRIFÁSICO DE ENTRADA</t>
  </si>
  <si>
    <t>Poste padrão completo</t>
  </si>
  <si>
    <t>Cabo de cobre rigido 16mm² - 1000volts 70°</t>
  </si>
  <si>
    <t xml:space="preserve">Cabo de cobre nú 10mm² </t>
  </si>
  <si>
    <t>Caixa Acrilica de medição trifásica - padrão Escelsa</t>
  </si>
  <si>
    <t>cj</t>
  </si>
  <si>
    <t>Haste de aterramento 2,4 x 5/8"</t>
  </si>
  <si>
    <t>Eletroduto PVC rigido 1 1/4"</t>
  </si>
  <si>
    <t>Curva PVC 90° 1 1/4"</t>
  </si>
  <si>
    <t>Luva PVC 1 1/4"</t>
  </si>
  <si>
    <t>1.3</t>
  </si>
  <si>
    <t>CONJUNTO MOTO BOMBA 3,5 CV</t>
  </si>
  <si>
    <t xml:space="preserve">Quadro de comando  para duas bombas 3,5 CV, funcionamento alternado 24 hs, partida automática controlado por boias de nível, com função manual automática, indicador de bomba parada e bomba em serviço e bomba com defeito. </t>
  </si>
  <si>
    <t>Boia de nível</t>
  </si>
  <si>
    <t>Cabo PP shield  2 x 2,5mm²</t>
  </si>
  <si>
    <t xml:space="preserve">Cabo de cobre  4mm² </t>
  </si>
  <si>
    <t>Eletroduto PVC rigido 1"</t>
  </si>
  <si>
    <t>Curva PVC 90° 1"</t>
  </si>
  <si>
    <t>Luva PVC 1"</t>
  </si>
  <si>
    <t>CASA DE BOMBAS - ETA</t>
  </si>
  <si>
    <t>Disjuntor trifásico 20 A - norma DIN</t>
  </si>
  <si>
    <t xml:space="preserve">Quadro de comando  para duas bombas 3/4 CV, funcionamento alternado 24 hs, partida automática controlado por boias de nível, com função manual automática, indicador de bomba parada e bomba em serviço e bomba com defeito. </t>
  </si>
  <si>
    <t>VALOR</t>
  </si>
  <si>
    <t>TOTAL</t>
  </si>
  <si>
    <t xml:space="preserve">ARMADURA CA-50 </t>
  </si>
  <si>
    <t xml:space="preserve">ESCAVACAO MECANICA EM QUALQUER TIPO DE SOLO QUE SEJAM DE 1ª CATEGORIA, COM PROFUNDIDADE ATE 3 METROS </t>
  </si>
  <si>
    <t>7070100230</t>
  </si>
  <si>
    <t xml:space="preserve">CONCRETO FCK 150 KG/CM2, VIRADO NA OBRA    </t>
  </si>
  <si>
    <t>7090100080</t>
  </si>
  <si>
    <t>ALVENARIA BLOCO CONCRETO E=9CM APARENTE</t>
  </si>
  <si>
    <t>7100100130</t>
  </si>
  <si>
    <t>REBOCO COMUM ARGAMASSA CIMENTO/AREIA 1:3</t>
  </si>
  <si>
    <t>7100100170</t>
  </si>
  <si>
    <t>CHAPISCO INT/EXT ARGAM CIMENTO/AREIA 1:3</t>
  </si>
  <si>
    <t>7100100390</t>
  </si>
  <si>
    <t>PINT ANTICORROSIVA ZARCAO 2 DEMAOS</t>
  </si>
  <si>
    <t>ESCAVACAO MECAN SOLO 1ªCAT PROF ATE 3M</t>
  </si>
  <si>
    <t xml:space="preserve">CONCRETO FCK 150 KG/CM2, VIRADO NA OBRA </t>
  </si>
  <si>
    <t xml:space="preserve">ALVENARIA BLOCO CONCRETO E=9CM APARENTE </t>
  </si>
  <si>
    <t>REBOCO PAULISTA ARGAM CIMENTO/AREIA 1:3</t>
  </si>
  <si>
    <t xml:space="preserve">CHAPISCO INT/EXT ARGAM CIMENTO/AREIA 1:3   </t>
  </si>
  <si>
    <t>PINT ANTICORROSIVA ZARCAO FERRO 2 DEMAOS</t>
  </si>
  <si>
    <t>ESCAVACAO MANUAL SOLO 2ªCAT PROF ATE 3M</t>
  </si>
  <si>
    <t>REATERRO MAN SEM COMPACTACAO CONTROLADA</t>
  </si>
  <si>
    <t>ASSENTAMENTO TUBO PVC SOLDA D 110</t>
  </si>
  <si>
    <t xml:space="preserve">062506 </t>
  </si>
  <si>
    <t xml:space="preserve">00009870 </t>
  </si>
  <si>
    <t>TUBO DE PVC SOLDAVEL DE 60MM</t>
  </si>
  <si>
    <t>TUBO PVC, SOLDAVEL, DN 110 MM, AGUA FRIA (NBR-5648)</t>
  </si>
  <si>
    <t>062375</t>
  </si>
  <si>
    <t>TUBO PVC RIG. CINZA P/ESGOTO DE 150MM (6")</t>
  </si>
  <si>
    <t>00001845</t>
  </si>
  <si>
    <t>CURVA PVC PBA, JE, PB, 90 GRAUS, DN 50 / DE 60 MM, PARA REDE AGUA (NBR 10351)</t>
  </si>
  <si>
    <t xml:space="preserve">00003879 </t>
  </si>
  <si>
    <t>LUVA PVC, ROSCAVEL, 2", AGUA FRIA PREDIAL</t>
  </si>
  <si>
    <t>00000113</t>
  </si>
  <si>
    <t>00000103</t>
  </si>
  <si>
    <t>00003512</t>
  </si>
  <si>
    <t>00003530</t>
  </si>
  <si>
    <t>ADAPTADOR PVC SOLDAVEL CURTO COM BOLSA E ROSCA, 60 MM X 2", PARA AGUA FRIA</t>
  </si>
  <si>
    <t>ADAPTADOR PVC SOLDAVEL CURTO COM BOLSA E ROSCA, 110 MM X 4", PARA AGUA FRIA</t>
  </si>
  <si>
    <t>JOELHO, PVC SOLDAVEL, 45 GRAUS, 110 MM, PARA AGUA FRIA PREDIAL</t>
  </si>
  <si>
    <t>JOELHO PVC, SOLDAVEL, 90 GRAUS, 110 MM, PARA AGUA FRIA PREDIAL</t>
  </si>
  <si>
    <t>00006028</t>
  </si>
  <si>
    <t>00037950</t>
  </si>
  <si>
    <t>REGISTRO GAVETA BRUTO EM LATAO FORJADO, BITOLA 2 " (REF 1509)</t>
  </si>
  <si>
    <t xml:space="preserve">JOELHO PVC, SOLDAVEL, PB, 90 GRAUS, DN 150 MM, PARA ESGOTO PREDIAL </t>
  </si>
  <si>
    <t>7040100060</t>
  </si>
  <si>
    <t>7070100200</t>
  </si>
  <si>
    <t>7100100140</t>
  </si>
  <si>
    <t>7040100050</t>
  </si>
  <si>
    <t>7040100190</t>
  </si>
  <si>
    <t>7170100520</t>
  </si>
  <si>
    <t>7230100160</t>
  </si>
  <si>
    <t>7230100110</t>
  </si>
  <si>
    <t>7230100120</t>
  </si>
  <si>
    <t>7230100130</t>
  </si>
  <si>
    <t>7230100140</t>
  </si>
  <si>
    <t xml:space="preserve">7230100150 </t>
  </si>
  <si>
    <t>AREIA PARA FILTRO TE=0,50MM CU=1,5MM</t>
  </si>
  <si>
    <t xml:space="preserve">SEIXO ROLADO PARA FILTRO 50MMX25MM </t>
  </si>
  <si>
    <t>SEIXO ROLADO PARA FILTRO 19MMX12,7MM</t>
  </si>
  <si>
    <t xml:space="preserve">SEIXO ROLADO PARA FILTRO 12,7MMX6,3MM </t>
  </si>
  <si>
    <t>SEIXO ROLADO PARA FILTRO 6,3MMX3,2MM</t>
  </si>
  <si>
    <t>SEIXO ROLADO PARA FILTRO 3,2MMX2,0MM</t>
  </si>
  <si>
    <t>00000246</t>
  </si>
  <si>
    <t>010101</t>
  </si>
  <si>
    <t>080170</t>
  </si>
  <si>
    <t xml:space="preserve">AUXILIAR DE ENCANADOR OU BOMBEIRO HIDRAULICO </t>
  </si>
  <si>
    <t xml:space="preserve">AJUDANTE </t>
  </si>
  <si>
    <t>CAMINHAO CARR MBENZ L1620/51 C/GUIND. 6T X M(E434)</t>
  </si>
  <si>
    <t>MERCADO LIVRE</t>
  </si>
  <si>
    <t>COTAÇÃO</t>
  </si>
  <si>
    <t>00036084</t>
  </si>
  <si>
    <t>00009860</t>
  </si>
  <si>
    <t>00009870</t>
  </si>
  <si>
    <t>00003825</t>
  </si>
  <si>
    <t>00000069</t>
  </si>
  <si>
    <t xml:space="preserve">00000103 </t>
  </si>
  <si>
    <t>00000826</t>
  </si>
  <si>
    <t xml:space="preserve">TUBO PVC, ROSCAVEL, 2", PARA AGUA FRIA PREDIAL </t>
  </si>
  <si>
    <t>TUBO PVC PBA JEI, CLASSE 12, DN 50 MM, PARA REDE DE AGUA (NBR 5647)</t>
  </si>
  <si>
    <t>LUVA DE CORRER, PVC PBA, JE, DN 50 / DE 60 MM, PARA REDE AGUA (NBR 10351)</t>
  </si>
  <si>
    <t>ADAPTADOR PVC SOLDAVEL, COM FLANGES LIVRES, 60 MM X 2", PARA CAIXA D' AGUA</t>
  </si>
  <si>
    <t>00003539</t>
  </si>
  <si>
    <t>JOELHO PVC, SOLDAVEL, 90 GRAUS, 60 MM, PARA AGUA FRIA PREDIAL</t>
  </si>
  <si>
    <t>BUCHA DE REDUCAO DE PVC, SOLDAVEL, LONGA, COM 110 X 60 MM, PARA AGUA FRIA PREDIAL</t>
  </si>
  <si>
    <t>TE, PVC PBA, BBB, 90 GRAUS, DN 50 / DE 60 MM, PARA REDE AGUA (NBR 10351)</t>
  </si>
  <si>
    <t>00007048</t>
  </si>
  <si>
    <t>00009861</t>
  </si>
  <si>
    <t>00009874</t>
  </si>
  <si>
    <t>00009873</t>
  </si>
  <si>
    <t>TUBO PVC, ROSCAVEL, 1 1/4", AGUA FRIA PREDIAL</t>
  </si>
  <si>
    <t xml:space="preserve">TUBO PVC, SOLDAVEL, DN 40 MM, AGUA FRIA (NBR-5648) </t>
  </si>
  <si>
    <t>TUBO PVC, SOLDAVEL, DN 60 MM, AGUA FRIA (NBR-5648)</t>
  </si>
  <si>
    <t>00001940</t>
  </si>
  <si>
    <t>CURVA PVC 90 GRAUS, ROSCAVEL, 1 1/4", AGUA FRIA PREDIAL</t>
  </si>
  <si>
    <t>00001902</t>
  </si>
  <si>
    <t xml:space="preserve">00004215 </t>
  </si>
  <si>
    <t xml:space="preserve">00007117 </t>
  </si>
  <si>
    <t>00009896</t>
  </si>
  <si>
    <t>00000109</t>
  </si>
  <si>
    <t xml:space="preserve">00000815 </t>
  </si>
  <si>
    <t>00001958</t>
  </si>
  <si>
    <t>00001929</t>
  </si>
  <si>
    <t>00004206</t>
  </si>
  <si>
    <t>00006017</t>
  </si>
  <si>
    <t>00010411</t>
  </si>
  <si>
    <t>LUVA EM PVC RIGIDO ROSCAVEL, DE 1 1/4", PARA ELETRODUTO</t>
  </si>
  <si>
    <t>NIPEL PVC, ROSCAVEL, 1 1/4", AGUA FRIA PREDIAL</t>
  </si>
  <si>
    <t>TE PVC, ROSCAVEL, 90 GRAUS, 1 1/4", AGUA FRIA PREDIAL</t>
  </si>
  <si>
    <t>UNIAO PVC, ROSCAVEL, 1 1/4", AGUA FRIA PREDIAL</t>
  </si>
  <si>
    <t>ADAPTADOR PVC SOLDAVEL CURTO COM BOLSA E ROSCA, 40 MM X 1 1/4", PARA AGUA FRIA</t>
  </si>
  <si>
    <t>BUCHA DE REDUCAO DE PVC, SOLDAVEL, LONGA, COM 60 X 40 MM, PARA AGUA FRIA PREDIAL</t>
  </si>
  <si>
    <t xml:space="preserve">CURVA DE PVC 90 GRAUS, SOLDAVEL, 40 MM, PARA AGUA FRIA PREDIAL (NBR 5648) </t>
  </si>
  <si>
    <t xml:space="preserve">CURVA DE PVC 45 GRAUS, SOLDAVEL, 40 MM, PARA AGUA FRIA PREDIAL (NBR 5648) </t>
  </si>
  <si>
    <t>NIPLE DE REDUCAO DE FERRO GALVANIZADO, COM ROSCA BSP, DE 1 1/4" X 1"</t>
  </si>
  <si>
    <t>REGISTRO GAVETA BRUTO EM LATAO FORJADO, BITOLA 1 1/4 " (REF 1509)</t>
  </si>
  <si>
    <t>VALVULA DE RETENCAO HORIZONTAL, DE BRONZE (PN-25), 1 1/4", 400 PSI, TAMPA DE PORCA DE UNIAO, EXTREMIDADES COM ROSCA</t>
  </si>
  <si>
    <t>7160100010</t>
  </si>
  <si>
    <t xml:space="preserve">MONT E ASSENT CJ MOTOBOMBA POT ATE 10CV </t>
  </si>
  <si>
    <t>UND</t>
  </si>
  <si>
    <t>00000733</t>
  </si>
  <si>
    <t>BOMBA CENTRIFUGA MOTOR ELETRICO MONOFASICO 0,74HP DIAMETRO DE SUCCAO X ELEVACAO 1 1/4" X 1", DIAMETRO DO ROTOR 120 MM, HM/Q: 8 M / 7,70 M3/H A 24 M / 2,80 M3/H</t>
  </si>
  <si>
    <t>00003073</t>
  </si>
  <si>
    <t>EXTREMIDADE PVC PBA, BF, JE, DN 100/ DE 110 MM (NBR 10351)</t>
  </si>
  <si>
    <t>00006300</t>
  </si>
  <si>
    <t>TE DE FERRO GALVANIZADO, DE 4"</t>
  </si>
  <si>
    <t>00006027</t>
  </si>
  <si>
    <t>REGISTRO GAVETA BRUTO EM LATAO FORJADO, BITOLA 4 " (REF 1509)</t>
  </si>
  <si>
    <t>00001824</t>
  </si>
  <si>
    <t>00003068</t>
  </si>
  <si>
    <t>00003074</t>
  </si>
  <si>
    <t>00012863</t>
  </si>
  <si>
    <t>00000050</t>
  </si>
  <si>
    <t>00001419</t>
  </si>
  <si>
    <t>00021012</t>
  </si>
  <si>
    <t>00021013</t>
  </si>
  <si>
    <t>00000778</t>
  </si>
  <si>
    <t>00001790</t>
  </si>
  <si>
    <t>00001798</t>
  </si>
  <si>
    <t>00003268</t>
  </si>
  <si>
    <t>00003912</t>
  </si>
  <si>
    <t>00004177</t>
  </si>
  <si>
    <t>00004181</t>
  </si>
  <si>
    <t>00004187</t>
  </si>
  <si>
    <t>00009883</t>
  </si>
  <si>
    <t>00009887</t>
  </si>
  <si>
    <t>00006020</t>
  </si>
  <si>
    <t>00012898</t>
  </si>
  <si>
    <t>CURVA PVC PBA, JE, PB, 90 GRAUS, DN 75 / DE 85 MM, PARA REDE AGUA (NBR 10351)</t>
  </si>
  <si>
    <t>EXTREMIDADE PVC PBA, BF, JE, DN 50 / DE 60 MM (NBR 10351)</t>
  </si>
  <si>
    <t>EXTREMIDADE PVC PBA, BF, JE, DN 75/ DE 85 MM (NBR 10351)</t>
  </si>
  <si>
    <t>ADAPTADOR, PVC PBA, A BOLSA DEFOFO, JE, DN 50 / DE 60 MM</t>
  </si>
  <si>
    <t>ADAPTADOR, PVC PBA, A BOLSA DEFOFO, JE, DN 75 / DE 85 MM</t>
  </si>
  <si>
    <t>COLAR TOMADA PVC, COM TRAVAS, SAIDA COM ROSCA, DE 50 MM X 1/2" OU 50 MM X 3/4", PARA LIGACAO PREDIAL DE AGUA</t>
  </si>
  <si>
    <t>TUBO ACO GALVANIZADO COM COSTURA, CLASSE LEVE, DN 40 MM ( 1 1/2"), E = 3,00 MM, *3,48* KG/M (NBR 5580)</t>
  </si>
  <si>
    <t>TUBO ACO GALVANIZADO COM COSTURA, CLASSE LEVE, DN 50 MM ( 2"), E = 3,00 MM, *4,40* KG/M (NBR 5580)</t>
  </si>
  <si>
    <t>BUCHA DE REDUCAO DE FERRO GALVANIZADO, COM ROSCA BSP, DE 3" X 2"</t>
  </si>
  <si>
    <t>CURVA 90 GRAUS DE FERRO GALVANIZADO, COM ROSCA BSP FEMEA, DE 2"</t>
  </si>
  <si>
    <t>CURVA 90 GRAUS DE FERRO GALVANIZADO, COM ROSCA BSP MACHO, DE 2"</t>
  </si>
  <si>
    <t>FLANGE SEXTAVADO DE FERRO GALVANIZADO, COM ROSCA BSP, DE 3"</t>
  </si>
  <si>
    <t>LUVA DE FERRO GALVANIZADO, COM ROSCA BSP, DE 2"</t>
  </si>
  <si>
    <t>NIPLE DE FERRO GALVANIZADO, COM ROSCA BSP, DE 1/2"</t>
  </si>
  <si>
    <t>NIPLE DE FERRO GALVANIZADO, COM ROSCA BSP, DE 2"</t>
  </si>
  <si>
    <t>NIPLE DE REDUCAO DE FERRO GALVANIZADO, COM ROSCA BSP, DE 3/4" X 1/2"</t>
  </si>
  <si>
    <t>UNIAO DE FERRO GALVANIZADO, COM ROSCA BSP, COM ASSENTO PLANO, DE 1/2"</t>
  </si>
  <si>
    <t>UNIAO DE FERRO GALVANIZADO, COM ROSCA BSP, COM ASSENTO PLANO, DE 2"</t>
  </si>
  <si>
    <t>REGISTRO GAVETA BRUTO EM LATAO FORJADO, BITOLA 1/2 " (REF 1509)</t>
  </si>
  <si>
    <t>MANOMETRO COM CAIXA EM ACO PINTADO, ESCALA *10* KGF/CM2 (*10* BAR), DIAMETRONOMINAL DE 100 MM, CONEXAO DE 1/2"</t>
  </si>
  <si>
    <t>00010232</t>
  </si>
  <si>
    <t>00010408</t>
  </si>
  <si>
    <t>00011748</t>
  </si>
  <si>
    <t>VALVULA DE RETENCAO DE BRONZE, PE COM CRIVOS, EXTREMIDADE COM ROSCA, DE 2", PARA FUNDO DE POCO</t>
  </si>
  <si>
    <t>VALVULA DE RETENCAO HORIZONTAL, DE BRONZE (PN-25), 2", 400 PSI, TAMPA DE PORCA DE UNIAO, EXTREMIDADES COM ROSCA</t>
  </si>
  <si>
    <t>VALVULA DE ESFERA BRUTA EM BRONZE, BITOLA 1/2 " (REF 1552-B)</t>
  </si>
  <si>
    <t>00006294</t>
  </si>
  <si>
    <t>00006298</t>
  </si>
  <si>
    <t>TE DE FERRO GALVANIZADO, DE 1/2"</t>
  </si>
  <si>
    <t>TE DE FERRO GALVANIZADO, DE 2"</t>
  </si>
  <si>
    <t>CAIXA D'ÁGUA FIBRA DE VIDRO, ANTI-ALGAS, 20 M3</t>
  </si>
  <si>
    <t>FORNECIMENTO E ASSENTAMENTO DE RESERVATÓRIO CIRCULAR, EM FIBRA DE VIDRO, REFORÇADO, COM CAPACIDADE DE 20m3, INCLUSIVE TRANSPORTE ATÉ A OBRA.</t>
  </si>
  <si>
    <t>CONSTRUÇÃO DE CAIXA PARA PROTEÇÃO DAS DESCARGAS, INCLUSIVE FORNECIMENTO DE MATERIAIS CONFORME PADRÃO PRÓ-RURAL Nº 97</t>
  </si>
  <si>
    <t>FORNECIMENTO E EXECUÇÃO DE DESCARGA DE ADUTORA OU REDE DN 50</t>
  </si>
  <si>
    <t>COMP 2:</t>
  </si>
  <si>
    <t>FORNECIMENTO E EXECUÇÃO DE INSTALAÇÃO ELÉTRICA DA E.E.A. - TRIFÁSICA (220V) PADRÃO PRÓ-RURAL - SEM PADRÃO DE ENTRADA E SEM CHAVES.</t>
  </si>
  <si>
    <t>COMP 3 :</t>
  </si>
  <si>
    <t>FORNECIMENTO E EXECUÇÃO DE INSTALAÇÕES HIDRÁULICAS DO BARRILETE 2" EM FG, PADRÃO PRÓ-RURAL Nº 18A</t>
  </si>
  <si>
    <t>INSTALAÇÕES ELÉTRICAS PARA LIGAÇÃO DE CONJUNTO MOTOBOMBA POTÊNCIA 3,5 CV.</t>
  </si>
  <si>
    <t>SUBTOTAL</t>
  </si>
  <si>
    <t>FILTRO 3L/S EM FIBRA</t>
  </si>
  <si>
    <t>00003455</t>
  </si>
  <si>
    <t>COTOVELO 90 GRAUS DE FERRO GALVANIZADO, COM ROSCA BSP, DE 1/2"</t>
  </si>
  <si>
    <t>VENTOSA SIMPLES FOFO COM ROSCA REF. 3/4"</t>
  </si>
  <si>
    <t>ARRUELA BORRACHA PARA FLANGES PN-10 DN 50</t>
  </si>
  <si>
    <t>ARRUELA BORRACHA PARA FLANGES PN-10 DN 75</t>
  </si>
  <si>
    <t>PARAFUSO C/ PORCA P/ FLANGES FOFO 16X75MM</t>
  </si>
  <si>
    <t>AMORTECEDOR DE PULSAÇÃO EM LATÃO D 1/2"</t>
  </si>
  <si>
    <t>FORNECIMENTO E EXECUÇÃO DE INSTALAÇÕES HIDRÁULICAS DO BARRILETE EM PVC 1 1/4", PARA COMPARTIMENTO DE BOMBAS, INCLUSIVE CONJUNTO MOTO-BOMBA.</t>
  </si>
  <si>
    <t>FORNECIMENTO DE LEITO FILTRANTE</t>
  </si>
  <si>
    <t xml:space="preserve">CONSTRUÇÃO DE CAIXA PARA PROTEÇÃO DAS DESCARGAS INCLUSIVE FORN. DE MATERIAIS </t>
  </si>
  <si>
    <t xml:space="preserve">FORNECIMENTO E ASSENTAMENTO DE FILTRO RÁPIDO PARA 3 L/S EM FIBRA DE VIDRO,  PRÓ-RURAL/ CESAN N.º 05/2000, INCLUSIVE BASE PARA APOIO EM CONCRETO ARMADO; CAIXA PARA DESCARGA; CAIXA DE REGISTRO; REGISTRO; LEITO FILTRANTE; TUBOS E CONEXÕES PARA LAVAGEM DO FILTRO E ADUÇÃO DA ÁGUA FILTRADA. </t>
  </si>
  <si>
    <t>COMP 5:</t>
  </si>
  <si>
    <t>Poste cir. Concreto alt. Mont. 11m/300kg, padrão Escelsa</t>
  </si>
  <si>
    <t>00002512</t>
  </si>
  <si>
    <t xml:space="preserve">Braço para Luminária </t>
  </si>
  <si>
    <t xml:space="preserve">010101 </t>
  </si>
  <si>
    <t>010115</t>
  </si>
  <si>
    <t xml:space="preserve">Ajudante </t>
  </si>
  <si>
    <t>00003798</t>
  </si>
  <si>
    <t>FORNECIMENTO E EXECUÇÃO DE VENTOSA</t>
  </si>
  <si>
    <t>SERVENTE</t>
  </si>
  <si>
    <t>KG</t>
  </si>
  <si>
    <t>FORNECIMENTO E EXECUÇÃO DE VRP</t>
  </si>
  <si>
    <t>UNID</t>
  </si>
  <si>
    <t>VENTOSA</t>
  </si>
  <si>
    <t>VRP</t>
  </si>
  <si>
    <t>EXTREMIDADE FLANGE FOFO BOLSA-PN 10 DN 75MM</t>
  </si>
  <si>
    <t>TOCO FOFO FF L = 0,25M - PN10 DN 50MM</t>
  </si>
  <si>
    <t>FILTRO Y FOFO PN10 DN 50MM</t>
  </si>
  <si>
    <t>REGISTRO FOFO EURO 23 C/ CUNHA DE BORRACHA DN 50MM PN10</t>
  </si>
  <si>
    <t>VÁLVULA FOFO REDUTORA DE PRESSÃO DE AÇÃO DIRETA VALLOY MODELO VA 601D (OU SIMILAR)</t>
  </si>
  <si>
    <t>REGISTRO FOFO EURO 23 C/ CUNHA DE BORRACHA DN 75MM PN10</t>
  </si>
  <si>
    <t>TUBO FOFO L = 0,80M PN10 DN 75MM</t>
  </si>
  <si>
    <t>ADAPTADOR FOFO BOLSA FLANGE PN10 DN 50MM</t>
  </si>
  <si>
    <t>TOCO FOFO FLANGE L = 0,15M PN10 DN 50MM</t>
  </si>
  <si>
    <t xml:space="preserve">00001412 </t>
  </si>
  <si>
    <t>COLAR TOMADA PVC, COM TRAVAS, SAIDA COM ROSCA, DE 85 MM X 1/2" OU 85 MM X 3/4" PARA LIGACAO PREDIAL DE AGUA</t>
  </si>
  <si>
    <t xml:space="preserve">00004178 </t>
  </si>
  <si>
    <t>NIPLE DE FERRO GALVANIZADO, COM ROSCA BSP, DE 3/4"</t>
  </si>
  <si>
    <t>00036373</t>
  </si>
  <si>
    <t>TUBO PVC PBA JEI, CLASSE 12, DN 75 MM, PARA REDE DE AGUA (NBR 5647)</t>
  </si>
  <si>
    <t xml:space="preserve">FORMA PLANA DE MADEIRA - PILAR/VIGA/PARE </t>
  </si>
  <si>
    <t>7070100120</t>
  </si>
  <si>
    <t>00006111</t>
  </si>
  <si>
    <t>00006313</t>
  </si>
  <si>
    <t>TE DE REDUCAO DE FERRO GALVANIZADO, COM ROSCA BSP, DE 3" X 2"</t>
  </si>
  <si>
    <t>MATERIAL ELÉTRICO PARA CASA DE QUÍMICA</t>
  </si>
  <si>
    <t>DISJUNTOR MONOPOLAR - 110/220V 10A</t>
  </si>
  <si>
    <t>CURVA 90 PVC RIGIDO ELETRODUTO 3/4"</t>
  </si>
  <si>
    <t>CONDULETE E- PVC C/ TOMADA E INTER 3/4"</t>
  </si>
  <si>
    <t>CONDULETE E PVC COM TOMADA</t>
  </si>
  <si>
    <t>FITA ISOLANTE ADESIVA 0,19X19MM RL 20M</t>
  </si>
  <si>
    <t>BRACADEIRA TIPO COPO 3/4"</t>
  </si>
  <si>
    <t>LUVA PVC RIGIDO ELETRODUTO 3/4"</t>
  </si>
  <si>
    <t>LAMPADA INCANDESCENTE 100W</t>
  </si>
  <si>
    <t>LUMINARIA INCAND.TIPO PLAFONIER COMPLETA</t>
  </si>
  <si>
    <t>CAIXA PARA DISJUNTORES COM 3 CIRCUITOS</t>
  </si>
  <si>
    <t>TUBO PVC ROSC NBR5648 ISO7/1 DN 3/4"</t>
  </si>
  <si>
    <t>ADAPT PVC CX DAGUA RF NBR5648 DN 1/2"</t>
  </si>
  <si>
    <t>TE PVC ROSC RB NBR5648 DN 3/4"X1/2"</t>
  </si>
  <si>
    <t>TORNEIRA LONGA PVC D 1/2"</t>
  </si>
  <si>
    <t>VALV PVC SEM UNHO PIA</t>
  </si>
  <si>
    <t>CURVA 90 PVC ESG SN BB LONGA DN 40</t>
  </si>
  <si>
    <t>ADAPT PVC CX DAGUA RF NBR5648 DN 1 1/2"</t>
  </si>
  <si>
    <t>MAQUINA GERADORA ESTATICA HIPOCLORITO 50L</t>
  </si>
  <si>
    <t>MANGUEIRA PLASTICA TRANSPARENTE D 20MM</t>
  </si>
  <si>
    <t>TANQUE VERT.CILIND.C/FUNDO PLANOCAP.230L</t>
  </si>
  <si>
    <t>DOSADOR DE NIVEL CONSTANTE CONF. DESENHO</t>
  </si>
  <si>
    <t>ESTABILIZADOR DE VOLTAGEM 1KV</t>
  </si>
  <si>
    <t>MATERIAIS E EQUIPAMENTOS DE LABORATÓRIO</t>
  </si>
  <si>
    <t>BEAKER FORMA BAIXA VIDRO 1000ML</t>
  </si>
  <si>
    <t>FRASCO AMBAR P/REAGENTE CAP 500ML</t>
  </si>
  <si>
    <t>PIPETA VOLUMETRICA CAP 1ML-RBC</t>
  </si>
  <si>
    <t>PIPETA MOHR SUBD 1/10 CAP 5ML</t>
  </si>
  <si>
    <t>PROVETA V.BOROSSIL S/ROLHA CAP 100ML</t>
  </si>
  <si>
    <t>PROVETA V.BOROSSIL S/ROLHA CAP 50ML</t>
  </si>
  <si>
    <t>COLORIMETRO P/COR MOD PORTATIL</t>
  </si>
  <si>
    <t>MATERIAIS E EQUIP. DE LAB.</t>
  </si>
  <si>
    <t>PEDREIRO</t>
  </si>
  <si>
    <t>00009856</t>
  </si>
  <si>
    <t>00009862</t>
  </si>
  <si>
    <t>TUBO PVC ROSC NBR5648 ISO7/1 DN 1/2"TUBO PVC, ROSCAVEL, 1/2", AGUA FRIA PREDIAL</t>
  </si>
  <si>
    <t>TUBO PVC, ROSCAVEL, 1 1/2", AGUA FRIA PREDIAL</t>
  </si>
  <si>
    <t>00003543</t>
  </si>
  <si>
    <t>00003883</t>
  </si>
  <si>
    <t>00004210</t>
  </si>
  <si>
    <t>00007098</t>
  </si>
  <si>
    <t>00009892</t>
  </si>
  <si>
    <t>00001967</t>
  </si>
  <si>
    <t>00020154</t>
  </si>
  <si>
    <t>00006036</t>
  </si>
  <si>
    <t>00011672</t>
  </si>
  <si>
    <t>00003143</t>
  </si>
  <si>
    <t>JOELHO PVC, ROSCAVEL, 90 GRAUS, 1/2", PARA AGUA FRIA PREDIAL</t>
  </si>
  <si>
    <t>LUVA ROSCAVEL, PVC, 1/2", AGUA FRIA PREDIAL</t>
  </si>
  <si>
    <t>NIPEL PVC, ROSCAVEL, 1/2", AGUA FRIA PREDIAL</t>
  </si>
  <si>
    <t>TE PVC, ROSCAVEL, 90 GRAUS, 1/2", AGUA FRIA PREDIAL</t>
  </si>
  <si>
    <t>UNIAO PVC, ROSCAVEL 1/2", AGUA FRIA PREDIAL</t>
  </si>
  <si>
    <t>CURVA PVC LONGA 90 GRAUS, 40 MM, PARA ESGOTO PREDIAL</t>
  </si>
  <si>
    <t>JOELHO, PVC SERIE R, 90 GRAUS, DN 40 MM, PARA ESGOTO PREDIAL</t>
  </si>
  <si>
    <t>REGISTRO DE ESFERA PVC, COM BORBOLETA, COM ROSCA EXTERNA, DE 1/2"</t>
  </si>
  <si>
    <t>REGISTRO DE ESFERA, PVC, COM VOLANTE, VS, ROSCAVEL, DN 1 1/2", COM CORPO DIVIDIDO</t>
  </si>
  <si>
    <t>FITA VEDA ROSCA EM ROLOS DE 18 MM X 25 M (L X C)</t>
  </si>
  <si>
    <t>00002674</t>
  </si>
  <si>
    <t>000039340</t>
  </si>
  <si>
    <t>000039346</t>
  </si>
  <si>
    <t>ELETRODUTO DE PVC RIGIDO ROSCAVEL DE 3/4 ", SEM LUVA</t>
  </si>
  <si>
    <t>CONDULETE EM PVC, TIPO "T", SEM TAMPA, DE 3/4"</t>
  </si>
  <si>
    <t>TAMPA PARA CONDULETE, EM PVC, COM 1 OU 2 OU 3 POSTOS PARA INTERRUPTOR</t>
  </si>
  <si>
    <t>00004375</t>
  </si>
  <si>
    <t>00000983</t>
  </si>
  <si>
    <t>000039334</t>
  </si>
  <si>
    <t>TAMPA PARA CONDULETE, EM PVC</t>
  </si>
  <si>
    <t xml:space="preserve">BUCHA DE NYLON SEM ABA S6 </t>
  </si>
  <si>
    <t>CABO DE COBRE, RIGIDO, CLASSE 2, ISOLACAO EM PVC/A, ANTICHAMA BWF-B, 1 CONDUTOR, 450/750 V, SECAO NOMINAL 1,5 MM2</t>
  </si>
  <si>
    <t>CLORIMETRO P/CLORO MOD PORTATIL</t>
  </si>
  <si>
    <t>TUBO PVC SERIE NORMAL, DN 40 MM, PARA ESGOTO PREDIAL (NBR 5688)</t>
  </si>
  <si>
    <t>ELETRICISTA</t>
  </si>
  <si>
    <t>TORNEIRA PLASTICA DE BOIA PARA CAIXA DE DESCARGA, 1/2", COM HASTE METALICA E BALAO PLASTICO</t>
  </si>
  <si>
    <t>INSTALAÇÕES HIDRO-SANITÁRIAS PARA CASA DE QUÍMICA</t>
  </si>
  <si>
    <t>MATERIAIS E EQUIPAMENTOS PARA DOSAGEM DOS PRODUTOS QUÍMICOS</t>
  </si>
  <si>
    <t>TUBO PVC, ROSCAVEL, 1/2", AGUA FRIA PREDIAL</t>
  </si>
  <si>
    <t>TUBO PVC RIGIDO ROSCAVEL DE 3/4"</t>
  </si>
  <si>
    <t>00003505</t>
  </si>
  <si>
    <t>JOELHO PVC, ROSCAVEL, 90 GRAUS, 3/4", PARA AGUA FRIA PREDIAL</t>
  </si>
  <si>
    <t>00006032</t>
  </si>
  <si>
    <t>REGISTRO DE ESFERA, PVC, COM VOLANTE, VS, ROSCAVEL, DN 3/4", COM CORPO DIVIDIDO</t>
  </si>
  <si>
    <t>00004211</t>
  </si>
  <si>
    <t>NIPEL PVC, ROSCAVEL, 3/4", AGUA FRIA PREDIAL</t>
  </si>
  <si>
    <t>UNIAO PVC, ROSCAVEL, 3/4", AGUA FRIA PREDIAL</t>
  </si>
  <si>
    <t>00009899</t>
  </si>
  <si>
    <t>00001427</t>
  </si>
  <si>
    <t>COLAR TOMADA PVC, COM TRAVAS, SAIDA COM ROSCA, DE 110 MM X 1/2" OU 110 MM X 3/4", PARA LIGACAO PREDIAL DE AGUA</t>
  </si>
  <si>
    <t>00006150</t>
  </si>
  <si>
    <t>SIFAO EM METAL CROMADO PARA PIA AMERICANA, 1.1/2 X 2 "</t>
  </si>
  <si>
    <t>00006016</t>
  </si>
  <si>
    <t xml:space="preserve">REGISTRO GAVETA BRUTO EM LATAO FORJADO, BITOLA 3/4 " (REF 1509) </t>
  </si>
  <si>
    <t>00011823</t>
  </si>
  <si>
    <t>FORNECIMENTO E ASSENTAMENTO DE MATERIAIS PARA ELEVATÓRIA AGUA BRUTA (CASA DE BOMBAS)</t>
  </si>
  <si>
    <t xml:space="preserve">UN </t>
  </si>
  <si>
    <t>UM</t>
  </si>
  <si>
    <t>00009836</t>
  </si>
  <si>
    <t>TUBO PVC SERIE NORMAL, DN 100 MM, PARA ESGOTO PREDIAL (NBR 5688)</t>
  </si>
  <si>
    <t>00007696</t>
  </si>
  <si>
    <t>TUBO ACO GALVANIZADO COM COSTURA, CLASSE MEDIA, DN 2"</t>
  </si>
  <si>
    <t>00010235</t>
  </si>
  <si>
    <t>VALVULA DE RETENCAO DE BRONZE, PE COM CRIVOS, EXTREMIDADE COM ROSCA, DE 3"</t>
  </si>
  <si>
    <t>00000738</t>
  </si>
  <si>
    <t>BOMBA CENTRIFUGA MOTOR ELETRICO TRIFASICO 5HP, DIAMETRO DE SUCCAO X ELEVACAO 2" X 1 1/2", DIAMETRO DO ROTOR 155 MM, HM/Q: 40 M / 20,40 M3/H A 46 M3 /H</t>
  </si>
  <si>
    <t>FORN/ASSENT MATERIAIS PARA FLOC/DECANTADOR 3L/S</t>
  </si>
  <si>
    <t>CAP PVC SOLD NBR5648 DE 25MM</t>
  </si>
  <si>
    <t>COMP 4:</t>
  </si>
  <si>
    <t>COMP 6:</t>
  </si>
  <si>
    <t xml:space="preserve">REGISTRO GAVETA BRUTO EM LATAO FORJADO, BITOLA 3 " (REF 1509) </t>
  </si>
  <si>
    <t>00006012</t>
  </si>
  <si>
    <t xml:space="preserve">00036373 </t>
  </si>
  <si>
    <t>00000102</t>
  </si>
  <si>
    <t xml:space="preserve">TUBO PVC, SOLDAVEL, DN 110 MM, AGUA FRIA (NBR-5648) </t>
  </si>
  <si>
    <t>ADAPTADOR PVC SOLDAVEL CURTO COM BOLSA E ROSCA, 85 MM X 3", PARA AGUA FRIA</t>
  </si>
  <si>
    <t>COMP 11:</t>
  </si>
  <si>
    <t>FORNECIMENTO E ASSENTAMENTO DE MATERIAIS PARA ETA</t>
  </si>
  <si>
    <t>LUVA PVC ROSC NBR5648 ISO7/1 DN 4"</t>
  </si>
  <si>
    <t xml:space="preserve">UNIAO PVC ROSC NBR5648 DN 4" </t>
  </si>
  <si>
    <t xml:space="preserve">JOELHO 90 PVC ROSC NBR5648 DN 2" </t>
  </si>
  <si>
    <t>TUBO PVC OCRE ESG PB JEI NBR7362 DN 150</t>
  </si>
  <si>
    <t>CURVA 90 PVC OCRE ESG PB JE DN 150</t>
  </si>
  <si>
    <t xml:space="preserve">CURVA 90 PVC ESG SN PB LONGA DN 100 </t>
  </si>
  <si>
    <t xml:space="preserve">CURVA 90 PVC PB JE NBR5647 DN 50/DE 60 </t>
  </si>
  <si>
    <t xml:space="preserve">CURVA 45 PVC ESG SN PB CURTA DN 100 </t>
  </si>
  <si>
    <t xml:space="preserve">CURVA 90 PVC SOLD NBR5648 DE 85MM </t>
  </si>
  <si>
    <t xml:space="preserve">00001958 </t>
  </si>
  <si>
    <t>CURVA DE PVC 90 GRAUS, SOLDAVEL, 40 MM, PARA AGUA FRIA PREDIAL (NBR 5648)</t>
  </si>
  <si>
    <t>00001962</t>
  </si>
  <si>
    <t xml:space="preserve">CURVA DE PVC 90 GRAUS, SOLDAVEL, 110 MM, PARA AGUA FRIA PREDIAL (NBR 5648) </t>
  </si>
  <si>
    <t>CURVA DE PVC 90 GRAUS, SOLDAVEL, 110 MM, PARA AGUA FRIA PREDIAL (NBR 5648)</t>
  </si>
  <si>
    <t xml:space="preserve">EXTREMIDADE PVC PBA, BF, JE, DN 100/ DE 110 MM (NBR 10351) </t>
  </si>
  <si>
    <t xml:space="preserve">00009902 </t>
  </si>
  <si>
    <t>00004182</t>
  </si>
  <si>
    <t xml:space="preserve">NIPLE DE FERRO GALVANIZADO, COM ROSCA BSP, DE 3" </t>
  </si>
  <si>
    <t>UNIAO PVC, ROSCAVEL, 3", AGUA FRIA PREDIAL</t>
  </si>
  <si>
    <t>TUBO PVC BRANCO ESG SN PB NBR5688 DN 100</t>
  </si>
  <si>
    <t>TE PVC ESG BBB JE NBR7362 DN 100MM</t>
  </si>
  <si>
    <t>REGISTRO GAVETA BRUTO EM LATAO FORJADO, BITOLA 3 "</t>
  </si>
  <si>
    <t xml:space="preserve">00006028 </t>
  </si>
  <si>
    <t>REGISTRO GAVETA BRUTO EM LATAO FORJADO, BITOLA 2 "</t>
  </si>
  <si>
    <t>REGISTRO GAVETA BRUTO EM LATAO FORJADO, BITOLA 4 "</t>
  </si>
  <si>
    <t>00004183</t>
  </si>
  <si>
    <t>NIPLE DE FERRO GALVANIZADO, COM ROSCA BSP, DE 4"</t>
  </si>
  <si>
    <t>00004215</t>
  </si>
  <si>
    <t xml:space="preserve">00004181 </t>
  </si>
  <si>
    <t>00009893</t>
  </si>
  <si>
    <t>UNIAO PVC, ROSCAVEL 2", AGUA FRIA PREDIAL</t>
  </si>
  <si>
    <t>REGISTRO GAVETA BRUTO EM LATAO FORJADO, BITOLA 1 1/4 "</t>
  </si>
  <si>
    <t xml:space="preserve">00001788 </t>
  </si>
  <si>
    <t>00000107</t>
  </si>
  <si>
    <t>00007146</t>
  </si>
  <si>
    <t xml:space="preserve">00009872 </t>
  </si>
  <si>
    <t xml:space="preserve">TUBO PVC, SOLDAVEL, DN 85 MM, AGUA FRIA </t>
  </si>
  <si>
    <t>CURVA 90 GRAUS DE FERRO GALVANIZADO, COM ROSCA BSP FEMEA, DE 1 1/4"</t>
  </si>
  <si>
    <t>ADAPTADOR PVC SOLDAVEL CURTO COM BOLSA E ROSCA, 20 MM X 1/2", PARA AGUA FRIA</t>
  </si>
  <si>
    <t>TE SOLDAVEL, PVC, 90 GRAUS, 110 MM, PARA AGUA FRIA PREDIAL (NBR 5648)</t>
  </si>
  <si>
    <t xml:space="preserve">00009861 </t>
  </si>
  <si>
    <t>00003877</t>
  </si>
  <si>
    <t>00000815</t>
  </si>
  <si>
    <t xml:space="preserve"> LUVA PVC, ROSCAVEL, 1 1/4", AGUA FRIA PREDIAL</t>
  </si>
  <si>
    <t>00007117</t>
  </si>
  <si>
    <t xml:space="preserve">00001427 </t>
  </si>
  <si>
    <t xml:space="preserve">00020067 </t>
  </si>
  <si>
    <t>TUBO PVC, PBV, SERIE R, DN 40 MM, PARA ESGOTO OU AGUAS PLUVIAIS PREDIAL (NBR 5688)</t>
  </si>
  <si>
    <t xml:space="preserve">00009857 </t>
  </si>
  <si>
    <t>TUBO PVC, ROSCAVEL, 3", AGUA FRIA PREDIAL</t>
  </si>
  <si>
    <t>COMP 13:</t>
  </si>
  <si>
    <t>COMP 14:</t>
  </si>
  <si>
    <t>FORNECIMENTO E ASSENTAMENTO DE RESERVATÓRIO CIRCULAR, EM FIBRA DE VIDRO, REFORÇADO, COM CAPACIDADE DE 10m3, INCLUSIVE TRANSPORTE ATÉ A OBRA.</t>
  </si>
  <si>
    <t>CAIXA D'ÁGUA FIBRA DE VIDRO, ANTI-ALGAS, 10 M3</t>
  </si>
  <si>
    <t xml:space="preserve">TUBO PVC BRANCO ESG SN PB NBR5688 DN 75 </t>
  </si>
  <si>
    <t>FORNECIMENTO E ASSENTAMENTO DE MATERIAIS PARA RESERVATÓRIOS</t>
  </si>
  <si>
    <t>BUCHA DE REDUCAO DE PVC, SOLDAVEL, LONGA, COM 110 X 60 MM, PARA AGUA FRIA</t>
  </si>
  <si>
    <t>00001924</t>
  </si>
  <si>
    <t>CURVA DE PVC 45 GRAUS, SOLDAVEL, 60 MM, PARA AGUA FRIA PREDIAL (NBR 5648)</t>
  </si>
  <si>
    <t xml:space="preserve">00001924 </t>
  </si>
  <si>
    <t>COMP 17:</t>
  </si>
  <si>
    <t xml:space="preserve">00004896 </t>
  </si>
  <si>
    <t>PLUG PVC, ROSCAVEL 3/4", PARA AGUA FRIA PREDIAL</t>
  </si>
  <si>
    <t>TUBO PVC, ROSCAVEL, 2", PARA AGUA FRIA PREDIAL</t>
  </si>
  <si>
    <t>COMP 1 :</t>
  </si>
  <si>
    <t>COMP 7:</t>
  </si>
  <si>
    <t>COMP 8:</t>
  </si>
  <si>
    <t>COMP 9:</t>
  </si>
  <si>
    <t>COMP 10:</t>
  </si>
  <si>
    <t>COMP 12:</t>
  </si>
  <si>
    <t>COMP 16:</t>
  </si>
  <si>
    <t>COMP 18:</t>
  </si>
  <si>
    <t>COMP 19:</t>
  </si>
  <si>
    <t>COMP 20:</t>
  </si>
  <si>
    <t>13.1</t>
  </si>
  <si>
    <t>13.2</t>
  </si>
  <si>
    <t>13.3</t>
  </si>
  <si>
    <t>COMP 15: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</si>
</sst>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7" formatCode="_(* #,##0.00_);_(* \(#,##0.00\);_(* &quot;-&quot;??_);_(@_)"/>
    <numFmt numFmtId="186" formatCode="0.000"/>
    <numFmt numFmtId="187" formatCode="#,##0.000"/>
  </numFmts>
  <fonts count="25" x14ac:knownFonts="1">
    <font>
      <sz val="10"/>
      <name val="Arial"/>
    </font>
    <font>
      <sz val="10"/>
      <name val="Arial"/>
    </font>
    <font>
      <sz val="11"/>
      <name val="Times New Roman"/>
      <family val="1"/>
    </font>
    <font>
      <b/>
      <i/>
      <sz val="14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0"/>
      <name val="Times New Roman"/>
      <family val="1"/>
    </font>
    <font>
      <b/>
      <i/>
      <sz val="12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b/>
      <i/>
      <sz val="12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9" fillId="0" borderId="0"/>
    <xf numFmtId="177" fontId="1" fillId="0" borderId="0" applyFont="0" applyFill="0" applyBorder="0" applyAlignment="0" applyProtection="0"/>
    <xf numFmtId="0" fontId="9" fillId="0" borderId="0" applyNumberFormat="0" applyFill="0" applyAlignment="0" applyProtection="0"/>
  </cellStyleXfs>
  <cellXfs count="22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justify" vertical="center" wrapText="1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justify" vertical="center" wrapText="1"/>
    </xf>
    <xf numFmtId="2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10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177" fontId="12" fillId="0" borderId="0" xfId="2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vertical="top" wrapText="1"/>
    </xf>
    <xf numFmtId="0" fontId="7" fillId="0" borderId="0" xfId="0" applyFont="1" applyBorder="1"/>
    <xf numFmtId="0" fontId="7" fillId="0" borderId="0" xfId="0" applyNumberFormat="1" applyFont="1" applyBorder="1" applyAlignment="1">
      <alignment horizontal="center" vertical="top" wrapText="1"/>
    </xf>
    <xf numFmtId="177" fontId="12" fillId="2" borderId="0" xfId="2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 wrapText="1"/>
    </xf>
    <xf numFmtId="4" fontId="12" fillId="2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177" fontId="2" fillId="0" borderId="0" xfId="2" applyFont="1" applyFill="1" applyAlignment="1">
      <alignment horizontal="center" vertical="center"/>
    </xf>
    <xf numFmtId="177" fontId="2" fillId="0" borderId="0" xfId="2" applyFont="1" applyAlignment="1">
      <alignment horizontal="center" vertical="center"/>
    </xf>
    <xf numFmtId="177" fontId="4" fillId="0" borderId="0" xfId="2" applyFont="1"/>
    <xf numFmtId="49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177" fontId="2" fillId="0" borderId="0" xfId="2" applyFont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13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77" fontId="10" fillId="0" borderId="0" xfId="2" applyFont="1"/>
    <xf numFmtId="0" fontId="13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3" fontId="13" fillId="0" borderId="0" xfId="0" applyNumberFormat="1" applyFont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/>
    <xf numFmtId="0" fontId="24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2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center"/>
    </xf>
    <xf numFmtId="177" fontId="10" fillId="0" borderId="0" xfId="2" applyFont="1" applyAlignment="1">
      <alignment horizontal="center"/>
    </xf>
    <xf numFmtId="2" fontId="2" fillId="0" borderId="0" xfId="0" applyNumberFormat="1" applyFont="1"/>
    <xf numFmtId="0" fontId="24" fillId="0" borderId="0" xfId="0" applyFont="1" applyBorder="1" applyAlignment="1">
      <alignment vertical="center" wrapText="1"/>
    </xf>
    <xf numFmtId="177" fontId="10" fillId="0" borderId="0" xfId="2" applyFont="1" applyAlignment="1">
      <alignment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0" fillId="0" borderId="0" xfId="0" applyBorder="1"/>
    <xf numFmtId="177" fontId="15" fillId="0" borderId="0" xfId="2" applyFont="1" applyFill="1" applyBorder="1" applyAlignment="1">
      <alignment horizontal="right" vertical="center"/>
    </xf>
    <xf numFmtId="0" fontId="0" fillId="0" borderId="0" xfId="0" applyFill="1" applyBorder="1"/>
    <xf numFmtId="0" fontId="2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center" vertical="top"/>
    </xf>
    <xf numFmtId="0" fontId="16" fillId="0" borderId="0" xfId="0" applyNumberFormat="1" applyFont="1" applyFill="1" applyBorder="1" applyAlignment="1">
      <alignment horizontal="center" vertical="top" wrapText="1"/>
    </xf>
    <xf numFmtId="177" fontId="16" fillId="0" borderId="0" xfId="2" applyFont="1" applyFill="1" applyBorder="1" applyAlignment="1">
      <alignment horizontal="center" vertical="top" wrapText="1"/>
    </xf>
    <xf numFmtId="177" fontId="16" fillId="0" borderId="0" xfId="2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/>
    <xf numFmtId="0" fontId="17" fillId="0" borderId="0" xfId="1" applyFont="1" applyBorder="1" applyAlignment="1" applyProtection="1">
      <alignment horizontal="center" vertical="center"/>
      <protection locked="0"/>
    </xf>
    <xf numFmtId="187" fontId="9" fillId="0" borderId="0" xfId="3" applyNumberFormat="1" applyFont="1" applyFill="1" applyBorder="1" applyAlignment="1" applyProtection="1">
      <alignment horizontal="center"/>
      <protection locked="0"/>
    </xf>
    <xf numFmtId="4" fontId="18" fillId="0" borderId="0" xfId="1" applyNumberFormat="1" applyFont="1" applyFill="1" applyBorder="1" applyAlignment="1" applyProtection="1">
      <alignment horizontal="center"/>
    </xf>
    <xf numFmtId="187" fontId="18" fillId="0" borderId="0" xfId="1" applyNumberFormat="1" applyFont="1" applyFill="1" applyBorder="1" applyAlignment="1" applyProtection="1">
      <alignment horizontal="center"/>
    </xf>
    <xf numFmtId="187" fontId="7" fillId="0" borderId="0" xfId="3" applyNumberFormat="1" applyFont="1" applyFill="1" applyBorder="1" applyAlignment="1" applyProtection="1">
      <alignment horizontal="center"/>
      <protection locked="0"/>
    </xf>
    <xf numFmtId="187" fontId="19" fillId="0" borderId="0" xfId="1" applyNumberFormat="1" applyFont="1" applyFill="1" applyBorder="1" applyAlignment="1" applyProtection="1">
      <alignment horizontal="center"/>
    </xf>
    <xf numFmtId="4" fontId="7" fillId="0" borderId="0" xfId="1" applyNumberFormat="1" applyFont="1" applyBorder="1" applyAlignment="1">
      <alignment horizontal="center"/>
    </xf>
    <xf numFmtId="4" fontId="19" fillId="0" borderId="0" xfId="1" applyNumberFormat="1" applyFont="1" applyFill="1" applyBorder="1" applyAlignment="1" applyProtection="1">
      <alignment horizontal="center"/>
    </xf>
    <xf numFmtId="177" fontId="15" fillId="3" borderId="0" xfId="2" applyFont="1" applyFill="1" applyBorder="1" applyAlignment="1">
      <alignment horizontal="right" vertical="center"/>
    </xf>
    <xf numFmtId="0" fontId="0" fillId="3" borderId="0" xfId="0" applyFill="1"/>
    <xf numFmtId="177" fontId="2" fillId="0" borderId="0" xfId="2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87" fontId="9" fillId="0" borderId="0" xfId="3" applyNumberFormat="1" applyFont="1" applyFill="1" applyBorder="1" applyAlignment="1" applyProtection="1">
      <alignment horizontal="center" vertical="center"/>
      <protection locked="0"/>
    </xf>
    <xf numFmtId="187" fontId="18" fillId="0" borderId="0" xfId="1" applyNumberFormat="1" applyFont="1" applyFill="1" applyBorder="1" applyAlignment="1" applyProtection="1">
      <alignment horizontal="center" vertical="center"/>
    </xf>
    <xf numFmtId="4" fontId="18" fillId="0" borderId="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Border="1" applyAlignment="1">
      <alignment horizontal="center" vertical="center"/>
    </xf>
    <xf numFmtId="187" fontId="18" fillId="0" borderId="0" xfId="3" applyNumberFormat="1" applyFont="1" applyFill="1" applyBorder="1" applyAlignment="1" applyProtection="1">
      <alignment horizontal="center"/>
      <protection locked="0"/>
    </xf>
    <xf numFmtId="4" fontId="9" fillId="0" borderId="0" xfId="1" applyNumberFormat="1" applyFont="1" applyFill="1" applyBorder="1" applyAlignment="1">
      <alignment horizontal="center"/>
    </xf>
    <xf numFmtId="0" fontId="0" fillId="0" borderId="0" xfId="0" applyFill="1"/>
    <xf numFmtId="187" fontId="2" fillId="0" borderId="0" xfId="3" applyNumberFormat="1" applyFont="1" applyFill="1" applyBorder="1" applyAlignment="1" applyProtection="1">
      <alignment horizontal="center" vertical="center"/>
      <protection locked="0"/>
    </xf>
    <xf numFmtId="187" fontId="20" fillId="0" borderId="0" xfId="3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Border="1" applyAlignment="1">
      <alignment horizontal="center" vertical="center"/>
    </xf>
    <xf numFmtId="187" fontId="20" fillId="0" borderId="0" xfId="1" applyNumberFormat="1" applyFont="1" applyFill="1" applyBorder="1" applyAlignment="1" applyProtection="1">
      <alignment horizontal="center" vertical="center"/>
    </xf>
    <xf numFmtId="4" fontId="20" fillId="0" borderId="0" xfId="1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Border="1" applyAlignment="1" applyProtection="1">
      <alignment horizontal="center" textRotation="90"/>
    </xf>
    <xf numFmtId="0" fontId="9" fillId="0" borderId="0" xfId="1" applyFont="1" applyFill="1" applyBorder="1" applyAlignment="1" applyProtection="1">
      <alignment horizontal="center"/>
    </xf>
    <xf numFmtId="0" fontId="23" fillId="0" borderId="0" xfId="1" applyFont="1" applyFill="1" applyBorder="1" applyAlignment="1" applyProtection="1">
      <alignment horizontal="center"/>
    </xf>
    <xf numFmtId="186" fontId="23" fillId="0" borderId="0" xfId="1" applyNumberFormat="1" applyFont="1" applyFill="1" applyBorder="1" applyAlignment="1" applyProtection="1">
      <alignment horizontal="center"/>
    </xf>
    <xf numFmtId="40" fontId="23" fillId="0" borderId="0" xfId="1" applyNumberFormat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/>
    </xf>
    <xf numFmtId="4" fontId="18" fillId="0" borderId="0" xfId="1" applyNumberFormat="1" applyFont="1" applyFill="1" applyBorder="1" applyAlignment="1" applyProtection="1">
      <alignment horizontal="left" wrapText="1"/>
      <protection locked="0"/>
    </xf>
    <xf numFmtId="4" fontId="18" fillId="0" borderId="0" xfId="1" applyNumberFormat="1" applyFont="1" applyFill="1" applyBorder="1" applyAlignment="1" applyProtection="1">
      <alignment horizontal="center"/>
      <protection locked="0"/>
    </xf>
    <xf numFmtId="4" fontId="18" fillId="0" borderId="0" xfId="3" applyNumberFormat="1" applyFont="1" applyFill="1" applyBorder="1" applyAlignment="1" applyProtection="1">
      <alignment horizontal="center"/>
      <protection locked="0"/>
    </xf>
    <xf numFmtId="4" fontId="18" fillId="0" borderId="0" xfId="3" applyNumberFormat="1" applyFont="1" applyFill="1" applyBorder="1" applyAlignment="1" applyProtection="1">
      <alignment horizontal="center"/>
      <protection hidden="1"/>
    </xf>
    <xf numFmtId="4" fontId="18" fillId="0" borderId="0" xfId="3" applyNumberFormat="1" applyFont="1" applyFill="1" applyBorder="1" applyAlignment="1" applyProtection="1">
      <protection hidden="1"/>
    </xf>
    <xf numFmtId="4" fontId="18" fillId="0" borderId="0" xfId="3" applyNumberFormat="1" applyFont="1" applyFill="1" applyBorder="1" applyAlignment="1" applyProtection="1">
      <alignment horizontal="right"/>
      <protection locked="0"/>
    </xf>
    <xf numFmtId="4" fontId="18" fillId="0" borderId="0" xfId="1" applyNumberFormat="1" applyFont="1" applyFill="1" applyBorder="1" applyAlignment="1" applyProtection="1">
      <alignment wrapText="1"/>
      <protection locked="0"/>
    </xf>
    <xf numFmtId="0" fontId="22" fillId="0" borderId="0" xfId="1" applyFont="1" applyFill="1" applyBorder="1" applyAlignment="1" applyProtection="1">
      <alignment vertical="center" textRotation="90"/>
    </xf>
    <xf numFmtId="0" fontId="9" fillId="0" borderId="0" xfId="1" applyFont="1" applyFill="1" applyBorder="1" applyAlignment="1" applyProtection="1">
      <alignment horizontal="center" vertical="center" wrapText="1"/>
    </xf>
    <xf numFmtId="4" fontId="18" fillId="0" borderId="0" xfId="1" applyNumberFormat="1" applyFont="1" applyFill="1" applyBorder="1" applyAlignment="1" applyProtection="1">
      <alignment vertical="center" wrapText="1"/>
    </xf>
    <xf numFmtId="4" fontId="9" fillId="0" borderId="0" xfId="3" applyNumberFormat="1" applyFont="1" applyFill="1" applyBorder="1" applyAlignment="1" applyProtection="1">
      <alignment horizontal="center"/>
      <protection locked="0"/>
    </xf>
    <xf numFmtId="4" fontId="23" fillId="0" borderId="0" xfId="1" applyNumberFormat="1" applyFont="1" applyFill="1" applyBorder="1" applyAlignment="1" applyProtection="1">
      <alignment horizontal="center" wrapText="1"/>
    </xf>
    <xf numFmtId="4" fontId="23" fillId="0" borderId="0" xfId="1" applyNumberFormat="1" applyFont="1" applyFill="1" applyBorder="1" applyAlignment="1" applyProtection="1">
      <alignment horizontal="center"/>
    </xf>
    <xf numFmtId="4" fontId="23" fillId="0" borderId="0" xfId="3" applyNumberFormat="1" applyFont="1" applyFill="1" applyBorder="1" applyAlignment="1" applyProtection="1">
      <alignment horizontal="center"/>
    </xf>
    <xf numFmtId="4" fontId="23" fillId="0" borderId="0" xfId="3" applyNumberFormat="1" applyFont="1" applyFill="1" applyBorder="1" applyAlignment="1" applyProtection="1">
      <alignment horizontal="center"/>
      <protection hidden="1"/>
    </xf>
    <xf numFmtId="4" fontId="9" fillId="0" borderId="0" xfId="1" applyNumberFormat="1" applyFont="1" applyFill="1" applyBorder="1"/>
    <xf numFmtId="0" fontId="22" fillId="0" borderId="0" xfId="1" applyFont="1" applyFill="1" applyBorder="1" applyAlignment="1" applyProtection="1">
      <alignment vertical="center" textRotation="90" wrapText="1"/>
    </xf>
    <xf numFmtId="4" fontId="18" fillId="0" borderId="0" xfId="1" applyNumberFormat="1" applyFont="1" applyFill="1" applyBorder="1" applyAlignment="1" applyProtection="1">
      <alignment horizontal="justify" vertical="center" wrapText="1"/>
    </xf>
    <xf numFmtId="0" fontId="9" fillId="0" borderId="0" xfId="0" applyFont="1" applyFill="1" applyBorder="1"/>
    <xf numFmtId="4" fontId="9" fillId="0" borderId="0" xfId="1" applyNumberFormat="1" applyFont="1" applyBorder="1"/>
    <xf numFmtId="4" fontId="9" fillId="0" borderId="0" xfId="1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2" fontId="1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1" fillId="0" borderId="0" xfId="1" applyFont="1" applyFill="1" applyBorder="1" applyAlignment="1">
      <alignment horizontal="justify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Normal" xfId="0" builtinId="0"/>
    <cellStyle name="Normal_Composição" xfId="1"/>
    <cellStyle name="Separador de milhares_Composição" xfId="3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20"/>
  <dimension ref="A1:L21"/>
  <sheetViews>
    <sheetView showGridLines="0" zoomScale="85" zoomScaleNormal="85" workbookViewId="0">
      <selection activeCell="E45" sqref="E44:E45"/>
    </sheetView>
  </sheetViews>
  <sheetFormatPr defaultRowHeight="12.75" x14ac:dyDescent="0.2"/>
  <cols>
    <col min="1" max="1" width="15.85546875" customWidth="1"/>
    <col min="2" max="2" width="47.5703125" customWidth="1"/>
    <col min="3" max="3" width="8.5703125" customWidth="1"/>
    <col min="4" max="4" width="10" customWidth="1"/>
    <col min="5" max="5" width="11.5703125" customWidth="1"/>
    <col min="6" max="6" width="10.85546875" customWidth="1"/>
    <col min="7" max="7" width="13.7109375" customWidth="1"/>
  </cols>
  <sheetData>
    <row r="1" spans="1:12" s="1" customFormat="1" ht="18.75" customHeight="1" x14ac:dyDescent="0.2">
      <c r="A1" s="214" t="s">
        <v>17</v>
      </c>
      <c r="B1" s="214"/>
      <c r="C1" s="214"/>
      <c r="D1" s="214"/>
      <c r="E1" s="214"/>
      <c r="F1" s="214"/>
    </row>
    <row r="2" spans="1:12" s="1" customFormat="1" ht="15" customHeight="1" x14ac:dyDescent="0.2">
      <c r="C2" s="23"/>
      <c r="D2" s="27"/>
    </row>
    <row r="3" spans="1:12" ht="36" customHeight="1" x14ac:dyDescent="0.2">
      <c r="A3" s="121" t="s">
        <v>496</v>
      </c>
      <c r="B3" s="213" t="s">
        <v>262</v>
      </c>
      <c r="C3" s="213"/>
      <c r="D3" s="213"/>
      <c r="E3" s="213"/>
      <c r="F3" s="213"/>
    </row>
    <row r="4" spans="1:12" ht="12" customHeight="1" x14ac:dyDescent="0.25">
      <c r="A4" s="2"/>
      <c r="B4" s="88"/>
      <c r="C4" s="2"/>
      <c r="D4" s="87"/>
      <c r="E4" s="2"/>
      <c r="F4" s="87"/>
    </row>
    <row r="5" spans="1:12" s="1" customFormat="1" ht="16.5" customHeight="1" x14ac:dyDescent="0.2">
      <c r="A5" s="52" t="s">
        <v>27</v>
      </c>
      <c r="B5" s="53" t="s">
        <v>28</v>
      </c>
      <c r="C5" s="53" t="s">
        <v>29</v>
      </c>
      <c r="D5" s="53" t="s">
        <v>30</v>
      </c>
      <c r="E5" s="53" t="s">
        <v>82</v>
      </c>
      <c r="F5" s="53" t="s">
        <v>83</v>
      </c>
    </row>
    <row r="6" spans="1:12" ht="60" x14ac:dyDescent="0.2">
      <c r="A6" s="89">
        <v>7040100060</v>
      </c>
      <c r="B6" s="90" t="s">
        <v>85</v>
      </c>
      <c r="C6" s="91" t="s">
        <v>11</v>
      </c>
      <c r="D6" s="92">
        <v>0.95</v>
      </c>
      <c r="E6" s="91">
        <v>9.85</v>
      </c>
      <c r="F6" s="91">
        <f>ROUND(D6*E6,2)</f>
        <v>9.36</v>
      </c>
    </row>
    <row r="7" spans="1:12" s="1" customFormat="1" ht="15" x14ac:dyDescent="0.2">
      <c r="A7" s="91">
        <v>7070100200</v>
      </c>
      <c r="B7" s="93" t="s">
        <v>84</v>
      </c>
      <c r="C7" s="91" t="s">
        <v>10</v>
      </c>
      <c r="D7" s="92">
        <v>2.13</v>
      </c>
      <c r="E7" s="91">
        <v>9.94</v>
      </c>
      <c r="F7" s="91">
        <f t="shared" ref="F7:F12" si="0">ROUND(D7*E7,2)</f>
        <v>21.17</v>
      </c>
    </row>
    <row r="8" spans="1:12" s="1" customFormat="1" ht="30" x14ac:dyDescent="0.2">
      <c r="A8" s="94" t="s">
        <v>86</v>
      </c>
      <c r="B8" s="90" t="s">
        <v>87</v>
      </c>
      <c r="C8" s="91" t="s">
        <v>11</v>
      </c>
      <c r="D8" s="92">
        <v>0.13</v>
      </c>
      <c r="E8" s="91">
        <v>492.8</v>
      </c>
      <c r="F8" s="91">
        <f t="shared" si="0"/>
        <v>64.06</v>
      </c>
      <c r="L8" s="48"/>
    </row>
    <row r="9" spans="1:12" ht="30" x14ac:dyDescent="0.2">
      <c r="A9" s="94" t="s">
        <v>88</v>
      </c>
      <c r="B9" s="90" t="s">
        <v>89</v>
      </c>
      <c r="C9" s="91" t="s">
        <v>12</v>
      </c>
      <c r="D9" s="92">
        <v>2.16</v>
      </c>
      <c r="E9" s="91">
        <v>54.41</v>
      </c>
      <c r="F9" s="91">
        <f t="shared" si="0"/>
        <v>117.53</v>
      </c>
    </row>
    <row r="10" spans="1:12" ht="30" x14ac:dyDescent="0.2">
      <c r="A10" s="94" t="s">
        <v>90</v>
      </c>
      <c r="B10" s="90" t="s">
        <v>91</v>
      </c>
      <c r="C10" s="91" t="s">
        <v>12</v>
      </c>
      <c r="D10" s="92">
        <v>2</v>
      </c>
      <c r="E10" s="91">
        <v>20.239999999999998</v>
      </c>
      <c r="F10" s="91">
        <f t="shared" si="0"/>
        <v>40.479999999999997</v>
      </c>
    </row>
    <row r="11" spans="1:12" s="18" customFormat="1" ht="30" x14ac:dyDescent="0.25">
      <c r="A11" s="94" t="s">
        <v>92</v>
      </c>
      <c r="B11" s="90" t="s">
        <v>93</v>
      </c>
      <c r="C11" s="91" t="s">
        <v>12</v>
      </c>
      <c r="D11" s="92">
        <v>2</v>
      </c>
      <c r="E11" s="91">
        <v>5.98</v>
      </c>
      <c r="F11" s="91">
        <f t="shared" si="0"/>
        <v>11.96</v>
      </c>
    </row>
    <row r="12" spans="1:12" s="18" customFormat="1" ht="16.5" x14ac:dyDescent="0.25">
      <c r="A12" s="94" t="s">
        <v>94</v>
      </c>
      <c r="B12" s="90" t="s">
        <v>95</v>
      </c>
      <c r="C12" s="91" t="s">
        <v>12</v>
      </c>
      <c r="D12" s="92">
        <v>0.03</v>
      </c>
      <c r="E12" s="91">
        <v>15.93</v>
      </c>
      <c r="F12" s="91">
        <f t="shared" si="0"/>
        <v>0.48</v>
      </c>
    </row>
    <row r="13" spans="1:12" s="18" customFormat="1" ht="16.5" x14ac:dyDescent="0.25">
      <c r="A13" s="50"/>
      <c r="B13" s="82"/>
      <c r="C13" s="95"/>
      <c r="D13" s="96"/>
      <c r="E13" s="97"/>
      <c r="F13" s="50"/>
    </row>
    <row r="14" spans="1:12" s="18" customFormat="1" ht="16.5" x14ac:dyDescent="0.25">
      <c r="A14" s="98"/>
      <c r="B14" s="5"/>
      <c r="C14" s="25"/>
      <c r="D14" s="99"/>
      <c r="E14" s="57" t="s">
        <v>83</v>
      </c>
      <c r="F14" s="100">
        <f>SUM(F6:F12)</f>
        <v>265.04000000000002</v>
      </c>
    </row>
    <row r="15" spans="1:12" ht="16.5" x14ac:dyDescent="0.25">
      <c r="A15" s="12"/>
      <c r="B15" s="14"/>
      <c r="C15" s="13"/>
      <c r="D15" s="35"/>
      <c r="E15" s="15"/>
    </row>
    <row r="16" spans="1:12" ht="16.5" x14ac:dyDescent="0.25">
      <c r="A16" s="8"/>
      <c r="B16" s="8"/>
      <c r="C16" s="8"/>
      <c r="D16" s="35"/>
      <c r="E16" s="8"/>
    </row>
    <row r="17" spans="1:7" ht="16.5" x14ac:dyDescent="0.25">
      <c r="A17" s="8"/>
      <c r="B17" s="8"/>
      <c r="C17" s="8"/>
      <c r="D17" s="8"/>
      <c r="E17" s="8"/>
    </row>
    <row r="21" spans="1:7" x14ac:dyDescent="0.2">
      <c r="G21" s="45"/>
    </row>
  </sheetData>
  <mergeCells count="2">
    <mergeCell ref="B3:F3"/>
    <mergeCell ref="A1:F1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92" orientation="portrait" horizontalDpi="300" verticalDpi="300" r:id="rId1"/>
  <headerFooter alignWithMargins="0">
    <oddHeader>&amp;L&amp;"Arial,Itálico"&amp;11HISTÓRICOS ORÇAMENTÁRIOS</oddHeader>
    <oddFooter>&amp;RPágina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80" zoomScaleNormal="80" workbookViewId="0">
      <selection activeCell="L34" sqref="L32:L34"/>
    </sheetView>
  </sheetViews>
  <sheetFormatPr defaultRowHeight="12.75" x14ac:dyDescent="0.2"/>
  <cols>
    <col min="1" max="1" width="11" customWidth="1"/>
    <col min="2" max="2" width="45" customWidth="1"/>
    <col min="3" max="3" width="7.140625" customWidth="1"/>
    <col min="6" max="6" width="10.140625" customWidth="1"/>
  </cols>
  <sheetData>
    <row r="1" spans="1:6" ht="18.75" x14ac:dyDescent="0.2">
      <c r="A1" s="214" t="s">
        <v>348</v>
      </c>
      <c r="B1" s="214"/>
      <c r="C1" s="214"/>
      <c r="D1" s="214"/>
      <c r="E1" s="214"/>
      <c r="F1" s="214"/>
    </row>
    <row r="2" spans="1:6" ht="15" x14ac:dyDescent="0.25">
      <c r="A2" s="133"/>
      <c r="B2" s="88"/>
      <c r="C2" s="2"/>
      <c r="D2" s="2"/>
      <c r="E2" s="2"/>
      <c r="F2" s="2"/>
    </row>
    <row r="3" spans="1:6" ht="28.5" x14ac:dyDescent="0.2">
      <c r="A3" s="119" t="s">
        <v>500</v>
      </c>
      <c r="B3" s="213" t="s">
        <v>340</v>
      </c>
      <c r="C3" s="213"/>
      <c r="D3" s="213"/>
      <c r="E3" s="213"/>
      <c r="F3" s="213"/>
    </row>
    <row r="4" spans="1:6" ht="15" x14ac:dyDescent="0.25">
      <c r="A4" s="2"/>
      <c r="B4" s="88"/>
      <c r="C4" s="2"/>
      <c r="D4" s="2"/>
      <c r="E4" s="2"/>
      <c r="F4" s="2"/>
    </row>
    <row r="5" spans="1:6" ht="14.25" x14ac:dyDescent="0.2">
      <c r="A5" s="52" t="s">
        <v>27</v>
      </c>
      <c r="B5" s="53" t="s">
        <v>28</v>
      </c>
      <c r="C5" s="53" t="s">
        <v>29</v>
      </c>
      <c r="D5" s="53" t="s">
        <v>30</v>
      </c>
      <c r="E5" s="53" t="s">
        <v>82</v>
      </c>
      <c r="F5" s="53" t="s">
        <v>83</v>
      </c>
    </row>
    <row r="6" spans="1:6" ht="15" x14ac:dyDescent="0.25">
      <c r="A6" s="91" t="s">
        <v>152</v>
      </c>
      <c r="B6" s="147" t="s">
        <v>341</v>
      </c>
      <c r="C6" s="91" t="s">
        <v>22</v>
      </c>
      <c r="D6" s="122">
        <v>2</v>
      </c>
      <c r="E6" s="122">
        <v>25</v>
      </c>
      <c r="F6" s="122">
        <f>ROUND(D6*E6,2)</f>
        <v>50</v>
      </c>
    </row>
    <row r="7" spans="1:6" ht="15" x14ac:dyDescent="0.2">
      <c r="A7" s="91" t="s">
        <v>152</v>
      </c>
      <c r="B7" s="136" t="s">
        <v>342</v>
      </c>
      <c r="C7" s="91" t="s">
        <v>22</v>
      </c>
      <c r="D7" s="135">
        <v>2</v>
      </c>
      <c r="E7" s="122">
        <v>67</v>
      </c>
      <c r="F7" s="122">
        <f t="shared" ref="F7:F13" si="0">ROUND(D7*E7,2)</f>
        <v>134</v>
      </c>
    </row>
    <row r="8" spans="1:6" ht="15" x14ac:dyDescent="0.2">
      <c r="A8" s="91" t="s">
        <v>152</v>
      </c>
      <c r="B8" s="136" t="s">
        <v>343</v>
      </c>
      <c r="C8" s="91" t="s">
        <v>22</v>
      </c>
      <c r="D8" s="135">
        <v>2</v>
      </c>
      <c r="E8" s="122">
        <v>4</v>
      </c>
      <c r="F8" s="122">
        <f t="shared" si="0"/>
        <v>8</v>
      </c>
    </row>
    <row r="9" spans="1:6" ht="15" x14ac:dyDescent="0.2">
      <c r="A9" s="91" t="s">
        <v>152</v>
      </c>
      <c r="B9" s="136" t="s">
        <v>344</v>
      </c>
      <c r="C9" s="91" t="s">
        <v>22</v>
      </c>
      <c r="D9" s="135">
        <v>1</v>
      </c>
      <c r="E9" s="122">
        <v>5</v>
      </c>
      <c r="F9" s="122">
        <f t="shared" si="0"/>
        <v>5</v>
      </c>
    </row>
    <row r="10" spans="1:6" ht="15" customHeight="1" x14ac:dyDescent="0.2">
      <c r="A10" s="91" t="s">
        <v>152</v>
      </c>
      <c r="B10" s="109" t="s">
        <v>345</v>
      </c>
      <c r="C10" s="91" t="s">
        <v>22</v>
      </c>
      <c r="D10" s="92">
        <v>3</v>
      </c>
      <c r="E10" s="122">
        <v>35</v>
      </c>
      <c r="F10" s="122">
        <f t="shared" si="0"/>
        <v>105</v>
      </c>
    </row>
    <row r="11" spans="1:6" ht="16.5" customHeight="1" x14ac:dyDescent="0.2">
      <c r="A11" s="91" t="s">
        <v>152</v>
      </c>
      <c r="B11" s="124" t="s">
        <v>346</v>
      </c>
      <c r="C11" s="91" t="s">
        <v>22</v>
      </c>
      <c r="D11" s="135">
        <v>3</v>
      </c>
      <c r="E11" s="122">
        <v>30</v>
      </c>
      <c r="F11" s="122">
        <f t="shared" si="0"/>
        <v>90</v>
      </c>
    </row>
    <row r="12" spans="1:6" ht="15" x14ac:dyDescent="0.2">
      <c r="A12" s="91" t="s">
        <v>152</v>
      </c>
      <c r="B12" s="124" t="s">
        <v>347</v>
      </c>
      <c r="C12" s="91" t="s">
        <v>22</v>
      </c>
      <c r="D12" s="135">
        <v>1</v>
      </c>
      <c r="E12" s="122">
        <v>2614.4</v>
      </c>
      <c r="F12" s="122">
        <f>ROUND(D12*E12,2)</f>
        <v>2614.4</v>
      </c>
    </row>
    <row r="13" spans="1:6" ht="15" x14ac:dyDescent="0.2">
      <c r="A13" s="91" t="s">
        <v>152</v>
      </c>
      <c r="B13" s="124" t="s">
        <v>386</v>
      </c>
      <c r="C13" s="91" t="s">
        <v>22</v>
      </c>
      <c r="D13" s="135">
        <v>1</v>
      </c>
      <c r="E13" s="122">
        <v>1580.8</v>
      </c>
      <c r="F13" s="122">
        <f t="shared" si="0"/>
        <v>1580.8</v>
      </c>
    </row>
    <row r="14" spans="1:6" ht="30" x14ac:dyDescent="0.2">
      <c r="A14" s="5" t="s">
        <v>145</v>
      </c>
      <c r="B14" s="136" t="s">
        <v>148</v>
      </c>
      <c r="C14" s="103" t="s">
        <v>20</v>
      </c>
      <c r="D14" s="135">
        <v>6</v>
      </c>
      <c r="E14" s="103">
        <f>ROUND(10.23*1.2619,2)</f>
        <v>12.91</v>
      </c>
      <c r="F14" s="103">
        <f>ROUND(D14*E14,2)</f>
        <v>77.459999999999994</v>
      </c>
    </row>
    <row r="15" spans="1:6" ht="15" x14ac:dyDescent="0.25">
      <c r="A15" s="98"/>
      <c r="B15" s="88"/>
      <c r="C15" s="2"/>
      <c r="D15" s="98"/>
      <c r="E15" s="137"/>
      <c r="F15" s="2"/>
    </row>
    <row r="16" spans="1:6" ht="15" x14ac:dyDescent="0.25">
      <c r="A16" s="98"/>
      <c r="B16" s="88"/>
      <c r="C16" s="2"/>
      <c r="D16" s="98"/>
      <c r="E16" s="57" t="s">
        <v>83</v>
      </c>
      <c r="F16" s="100">
        <f>SUM(F6:F14)</f>
        <v>4664.66</v>
      </c>
    </row>
  </sheetData>
  <mergeCells count="2">
    <mergeCell ref="A1:F1"/>
    <mergeCell ref="B3:F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zoomScale="73" zoomScaleNormal="73" workbookViewId="0">
      <selection activeCell="E12" sqref="E12"/>
    </sheetView>
  </sheetViews>
  <sheetFormatPr defaultRowHeight="12.75" x14ac:dyDescent="0.2"/>
  <cols>
    <col min="1" max="1" width="14" customWidth="1"/>
    <col min="2" max="2" width="54.85546875" customWidth="1"/>
    <col min="3" max="3" width="7" customWidth="1"/>
    <col min="4" max="4" width="10" customWidth="1"/>
    <col min="5" max="5" width="11.140625" customWidth="1"/>
    <col min="6" max="6" width="11" customWidth="1"/>
  </cols>
  <sheetData>
    <row r="1" spans="1:20" ht="18.75" x14ac:dyDescent="0.2">
      <c r="A1" s="214" t="s">
        <v>420</v>
      </c>
      <c r="B1" s="214"/>
      <c r="C1" s="214"/>
      <c r="D1" s="214"/>
      <c r="E1" s="214"/>
      <c r="F1" s="214"/>
      <c r="L1" s="220"/>
      <c r="M1" s="220"/>
      <c r="N1" s="220"/>
      <c r="O1" s="220"/>
      <c r="P1" s="220"/>
      <c r="Q1" s="220"/>
      <c r="R1" s="184"/>
      <c r="S1" s="184"/>
      <c r="T1" s="146"/>
    </row>
    <row r="2" spans="1:20" ht="15" x14ac:dyDescent="0.2">
      <c r="A2" s="59"/>
      <c r="B2" s="59"/>
      <c r="C2" s="59"/>
      <c r="D2" s="59"/>
      <c r="E2" s="59"/>
      <c r="F2" s="59"/>
      <c r="L2" s="185"/>
      <c r="M2" s="186"/>
      <c r="N2" s="187"/>
      <c r="O2" s="187"/>
      <c r="P2" s="188"/>
      <c r="Q2" s="187"/>
      <c r="R2" s="187"/>
      <c r="S2" s="189"/>
      <c r="T2" s="146"/>
    </row>
    <row r="3" spans="1:20" ht="15" x14ac:dyDescent="0.2">
      <c r="A3" s="119" t="s">
        <v>430</v>
      </c>
      <c r="B3" s="213" t="s">
        <v>420</v>
      </c>
      <c r="C3" s="213"/>
      <c r="D3" s="213"/>
      <c r="E3" s="213"/>
      <c r="F3" s="213"/>
      <c r="L3" s="198"/>
      <c r="M3" s="190"/>
      <c r="N3" s="191"/>
      <c r="O3" s="174"/>
      <c r="P3" s="192"/>
      <c r="Q3" s="193"/>
      <c r="R3" s="194"/>
      <c r="S3" s="195"/>
      <c r="T3" s="146"/>
    </row>
    <row r="4" spans="1:20" ht="15" x14ac:dyDescent="0.25">
      <c r="A4" s="2"/>
      <c r="B4" s="88"/>
      <c r="C4" s="2"/>
      <c r="D4" s="2"/>
      <c r="E4" s="2"/>
      <c r="F4" s="2"/>
      <c r="L4" s="198"/>
      <c r="M4" s="190"/>
      <c r="N4" s="191"/>
      <c r="O4" s="193"/>
      <c r="P4" s="192"/>
      <c r="Q4" s="193"/>
      <c r="R4" s="194"/>
      <c r="S4" s="196"/>
      <c r="T4" s="146"/>
    </row>
    <row r="5" spans="1:20" ht="14.25" x14ac:dyDescent="0.2">
      <c r="A5" s="52" t="s">
        <v>27</v>
      </c>
      <c r="B5" s="53" t="s">
        <v>28</v>
      </c>
      <c r="C5" s="53" t="s">
        <v>29</v>
      </c>
      <c r="D5" s="53" t="s">
        <v>30</v>
      </c>
      <c r="E5" s="53" t="s">
        <v>82</v>
      </c>
      <c r="F5" s="53" t="s">
        <v>83</v>
      </c>
      <c r="L5" s="198"/>
      <c r="M5" s="190"/>
      <c r="N5" s="197"/>
      <c r="O5" s="193"/>
      <c r="P5" s="192"/>
      <c r="Q5" s="193"/>
      <c r="R5" s="194"/>
      <c r="S5" s="196"/>
      <c r="T5" s="146"/>
    </row>
    <row r="6" spans="1:20" ht="30" x14ac:dyDescent="0.2">
      <c r="A6" s="5" t="s">
        <v>426</v>
      </c>
      <c r="B6" s="136" t="s">
        <v>311</v>
      </c>
      <c r="C6" s="103" t="s">
        <v>21</v>
      </c>
      <c r="D6" s="105">
        <v>1</v>
      </c>
      <c r="E6" s="103">
        <f>ROUND(23.47*1.2619,2)</f>
        <v>29.62</v>
      </c>
      <c r="F6" s="103">
        <f>ROUND(D6*E6,2)</f>
        <v>29.62</v>
      </c>
      <c r="I6" s="45"/>
      <c r="L6" s="198"/>
      <c r="M6" s="190"/>
      <c r="N6" s="197"/>
      <c r="O6" s="193"/>
      <c r="P6" s="192"/>
      <c r="Q6" s="193"/>
      <c r="R6" s="194"/>
      <c r="S6" s="196"/>
      <c r="T6" s="146"/>
    </row>
    <row r="7" spans="1:20" ht="31.5" customHeight="1" x14ac:dyDescent="0.2">
      <c r="A7" s="5" t="s">
        <v>155</v>
      </c>
      <c r="B7" s="136" t="s">
        <v>428</v>
      </c>
      <c r="C7" s="103" t="s">
        <v>21</v>
      </c>
      <c r="D7" s="105">
        <v>6</v>
      </c>
      <c r="E7" s="103">
        <f>ROUND(53.38*1.2619,2)</f>
        <v>67.36</v>
      </c>
      <c r="F7" s="103">
        <f t="shared" ref="F7:F12" si="0">ROUND(D7*E7,2)</f>
        <v>404.16</v>
      </c>
      <c r="I7" s="45"/>
      <c r="L7" s="198"/>
      <c r="M7" s="190"/>
      <c r="N7" s="191"/>
      <c r="O7" s="193"/>
      <c r="P7" s="192"/>
      <c r="Q7" s="193"/>
      <c r="R7" s="194"/>
      <c r="S7" s="196"/>
      <c r="T7" s="146"/>
    </row>
    <row r="8" spans="1:20" ht="30" x14ac:dyDescent="0.2">
      <c r="A8" s="5" t="s">
        <v>427</v>
      </c>
      <c r="B8" s="136" t="s">
        <v>429</v>
      </c>
      <c r="C8" s="103" t="s">
        <v>26</v>
      </c>
      <c r="D8" s="105">
        <v>2</v>
      </c>
      <c r="E8" s="103">
        <f>ROUND(20.86*1.2619,2)</f>
        <v>26.32</v>
      </c>
      <c r="F8" s="103">
        <f t="shared" si="0"/>
        <v>52.64</v>
      </c>
      <c r="I8" s="45"/>
      <c r="L8" s="198"/>
      <c r="M8" s="190"/>
      <c r="N8" s="197"/>
      <c r="O8" s="193"/>
      <c r="P8" s="192"/>
      <c r="Q8" s="193"/>
      <c r="R8" s="194"/>
      <c r="S8" s="196"/>
      <c r="T8" s="146"/>
    </row>
    <row r="9" spans="1:20" ht="31.5" customHeight="1" x14ac:dyDescent="0.2">
      <c r="A9" s="5" t="s">
        <v>118</v>
      </c>
      <c r="B9" s="136" t="s">
        <v>122</v>
      </c>
      <c r="C9" s="103" t="s">
        <v>26</v>
      </c>
      <c r="D9" s="105">
        <v>1</v>
      </c>
      <c r="E9" s="103">
        <f>ROUND(144*1.2619,2)</f>
        <v>181.71</v>
      </c>
      <c r="F9" s="103">
        <f t="shared" si="0"/>
        <v>181.71</v>
      </c>
      <c r="I9" s="45"/>
      <c r="L9" s="185"/>
      <c r="M9" s="186"/>
      <c r="N9" s="202"/>
      <c r="O9" s="203"/>
      <c r="P9" s="204"/>
      <c r="Q9" s="204"/>
      <c r="R9" s="205"/>
      <c r="S9" s="205"/>
      <c r="T9" s="146"/>
    </row>
    <row r="10" spans="1:20" ht="15" x14ac:dyDescent="0.2">
      <c r="A10" s="103" t="s">
        <v>152</v>
      </c>
      <c r="B10" s="136" t="s">
        <v>421</v>
      </c>
      <c r="C10" s="103" t="s">
        <v>26</v>
      </c>
      <c r="D10" s="105">
        <v>2</v>
      </c>
      <c r="E10" s="105">
        <v>165</v>
      </c>
      <c r="F10" s="103">
        <f t="shared" si="0"/>
        <v>330</v>
      </c>
      <c r="L10" s="207"/>
      <c r="M10" s="199"/>
      <c r="N10" s="206"/>
      <c r="O10" s="175"/>
      <c r="P10" s="175"/>
      <c r="Q10" s="175"/>
      <c r="R10" s="194"/>
      <c r="S10" s="195"/>
      <c r="T10" s="146"/>
    </row>
    <row r="11" spans="1:20" ht="30" x14ac:dyDescent="0.2">
      <c r="A11" s="5" t="s">
        <v>425</v>
      </c>
      <c r="B11" s="136" t="s">
        <v>424</v>
      </c>
      <c r="C11" s="103" t="s">
        <v>411</v>
      </c>
      <c r="D11" s="105">
        <v>2</v>
      </c>
      <c r="E11" s="103">
        <f>ROUND(203.08*1.2619,2)</f>
        <v>256.27</v>
      </c>
      <c r="F11" s="103">
        <f t="shared" si="0"/>
        <v>512.54</v>
      </c>
      <c r="I11" s="45"/>
      <c r="L11" s="207"/>
      <c r="M11" s="199"/>
      <c r="N11" s="200"/>
      <c r="O11" s="159"/>
      <c r="P11" s="175"/>
      <c r="Q11" s="161"/>
      <c r="R11" s="194"/>
      <c r="S11" s="194"/>
      <c r="T11" s="146"/>
    </row>
    <row r="12" spans="1:20" ht="22.5" customHeight="1" x14ac:dyDescent="0.2">
      <c r="A12" s="5" t="s">
        <v>314</v>
      </c>
      <c r="B12" s="136" t="s">
        <v>291</v>
      </c>
      <c r="C12" s="103" t="s">
        <v>20</v>
      </c>
      <c r="D12" s="135">
        <v>4</v>
      </c>
      <c r="E12" s="103">
        <f>ROUND(8.81*1.2619,2)</f>
        <v>11.12</v>
      </c>
      <c r="F12" s="103">
        <f t="shared" si="0"/>
        <v>44.48</v>
      </c>
      <c r="L12" s="207"/>
      <c r="M12" s="199"/>
      <c r="N12" s="200"/>
      <c r="O12" s="159"/>
      <c r="P12" s="175"/>
      <c r="Q12" s="161"/>
      <c r="R12" s="194"/>
      <c r="S12" s="194"/>
      <c r="T12" s="146"/>
    </row>
    <row r="13" spans="1:20" ht="18.75" customHeight="1" x14ac:dyDescent="0.2">
      <c r="A13" s="5" t="s">
        <v>145</v>
      </c>
      <c r="B13" s="136" t="s">
        <v>148</v>
      </c>
      <c r="C13" s="103" t="s">
        <v>20</v>
      </c>
      <c r="D13" s="135">
        <v>4</v>
      </c>
      <c r="E13" s="103">
        <f>ROUND(10.23*1.2619,2)</f>
        <v>12.91</v>
      </c>
      <c r="F13" s="103">
        <f>ROUND(D13*E13,2)</f>
        <v>51.64</v>
      </c>
      <c r="L13" s="207"/>
      <c r="M13" s="199"/>
      <c r="N13" s="200"/>
      <c r="O13" s="159"/>
      <c r="P13" s="175"/>
      <c r="Q13" s="161"/>
      <c r="R13" s="194"/>
      <c r="S13" s="194"/>
      <c r="T13" s="146"/>
    </row>
    <row r="14" spans="1:20" ht="15" x14ac:dyDescent="0.25">
      <c r="A14" s="2"/>
      <c r="B14" s="2"/>
      <c r="C14" s="2"/>
      <c r="D14" s="99"/>
      <c r="E14" s="2"/>
      <c r="F14" s="2"/>
      <c r="L14" s="207"/>
      <c r="M14" s="199"/>
      <c r="N14" s="191"/>
      <c r="O14" s="160"/>
      <c r="P14" s="193"/>
      <c r="Q14" s="201"/>
      <c r="R14" s="194"/>
      <c r="S14" s="195"/>
      <c r="T14" s="146"/>
    </row>
    <row r="15" spans="1:20" ht="15" x14ac:dyDescent="0.25">
      <c r="A15" s="2"/>
      <c r="B15" s="2"/>
      <c r="C15" s="2"/>
      <c r="D15" s="2"/>
      <c r="E15" s="57" t="s">
        <v>83</v>
      </c>
      <c r="F15" s="138">
        <f>SUM(F6:F13)</f>
        <v>1606.7900000000002</v>
      </c>
    </row>
  </sheetData>
  <mergeCells count="3">
    <mergeCell ref="L1:Q1"/>
    <mergeCell ref="A1:F1"/>
    <mergeCell ref="B3:F3"/>
  </mergeCells>
  <pageMargins left="0.51181102362204722" right="0.51181102362204722" top="0.78740157480314965" bottom="0.78740157480314965" header="0.31496062992125984" footer="0.31496062992125984"/>
  <pageSetup paperSize="9" scale="8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1"/>
  <dimension ref="A1:L52"/>
  <sheetViews>
    <sheetView showGridLines="0" topLeftCell="A19" zoomScale="85" zoomScaleNormal="85" workbookViewId="0">
      <selection sqref="A1:F52"/>
    </sheetView>
  </sheetViews>
  <sheetFormatPr defaultRowHeight="12.75" x14ac:dyDescent="0.2"/>
  <cols>
    <col min="1" max="1" width="13.42578125" style="60" customWidth="1"/>
    <col min="2" max="2" width="51.7109375" style="60" customWidth="1"/>
    <col min="3" max="3" width="10.42578125" style="78" customWidth="1"/>
    <col min="4" max="4" width="8.140625" style="78" customWidth="1"/>
    <col min="5" max="5" width="9.42578125" style="78" customWidth="1"/>
    <col min="6" max="6" width="10.28515625" style="78" customWidth="1"/>
    <col min="7" max="7" width="61" style="60" bestFit="1" customWidth="1"/>
    <col min="8" max="16384" width="9.140625" style="60"/>
  </cols>
  <sheetData>
    <row r="1" spans="1:12" s="22" customFormat="1" ht="18.75" customHeight="1" x14ac:dyDescent="0.2">
      <c r="A1" s="224" t="s">
        <v>33</v>
      </c>
      <c r="B1" s="224"/>
      <c r="C1" s="224"/>
      <c r="D1" s="224"/>
      <c r="E1" s="224"/>
      <c r="F1" s="3"/>
    </row>
    <row r="2" spans="1:12" s="22" customFormat="1" ht="15" customHeight="1" x14ac:dyDescent="0.2">
      <c r="A2" s="50"/>
      <c r="B2" s="50"/>
      <c r="C2" s="59"/>
      <c r="D2" s="3"/>
      <c r="E2" s="3"/>
      <c r="F2" s="3"/>
    </row>
    <row r="3" spans="1:12" ht="61.5" customHeight="1" x14ac:dyDescent="0.2">
      <c r="A3" s="132" t="s">
        <v>501</v>
      </c>
      <c r="B3" s="213" t="s">
        <v>281</v>
      </c>
      <c r="C3" s="213"/>
      <c r="D3" s="213"/>
      <c r="E3" s="213"/>
      <c r="F3" s="213"/>
    </row>
    <row r="4" spans="1:12" ht="12" customHeight="1" x14ac:dyDescent="0.2">
      <c r="A4" s="50"/>
      <c r="B4" s="5"/>
      <c r="C4" s="3"/>
      <c r="D4" s="3"/>
      <c r="E4" s="3"/>
      <c r="F4" s="3"/>
    </row>
    <row r="5" spans="1:12" s="22" customFormat="1" ht="15.95" customHeight="1" x14ac:dyDescent="0.2">
      <c r="A5" s="52" t="s">
        <v>27</v>
      </c>
      <c r="B5" s="53" t="s">
        <v>28</v>
      </c>
      <c r="C5" s="53" t="s">
        <v>29</v>
      </c>
      <c r="D5" s="53" t="s">
        <v>30</v>
      </c>
      <c r="E5" s="53" t="s">
        <v>82</v>
      </c>
      <c r="F5" s="53" t="s">
        <v>83</v>
      </c>
    </row>
    <row r="6" spans="1:12" ht="15" x14ac:dyDescent="0.2">
      <c r="A6" s="5" t="s">
        <v>105</v>
      </c>
      <c r="B6" s="25" t="s">
        <v>107</v>
      </c>
      <c r="C6" s="3" t="s">
        <v>21</v>
      </c>
      <c r="D6" s="4">
        <v>0.5</v>
      </c>
      <c r="E6" s="3">
        <f>ROUND((13.08/1.309)*1.2619,2)</f>
        <v>12.61</v>
      </c>
      <c r="F6" s="80">
        <f>ROUND(D6*E6,2)</f>
        <v>6.31</v>
      </c>
    </row>
    <row r="7" spans="1:12" ht="30" x14ac:dyDescent="0.2">
      <c r="A7" s="5" t="s">
        <v>106</v>
      </c>
      <c r="B7" s="25" t="s">
        <v>108</v>
      </c>
      <c r="C7" s="3" t="s">
        <v>21</v>
      </c>
      <c r="D7" s="4">
        <v>36</v>
      </c>
      <c r="E7" s="3">
        <f>ROUND(53.38*1.2619,2)</f>
        <v>67.36</v>
      </c>
      <c r="F7" s="80">
        <f>D7*E7</f>
        <v>2424.96</v>
      </c>
    </row>
    <row r="8" spans="1:12" ht="15" x14ac:dyDescent="0.2">
      <c r="A8" s="5" t="s">
        <v>109</v>
      </c>
      <c r="B8" s="25" t="s">
        <v>110</v>
      </c>
      <c r="C8" s="3" t="s">
        <v>21</v>
      </c>
      <c r="D8" s="4">
        <v>3</v>
      </c>
      <c r="E8" s="3">
        <f>ROUND((40.95/1.309)*1.2619,2)</f>
        <v>39.479999999999997</v>
      </c>
      <c r="F8" s="80">
        <f>D8*E8</f>
        <v>118.44</v>
      </c>
    </row>
    <row r="9" spans="1:12" ht="30" x14ac:dyDescent="0.2">
      <c r="A9" s="54" t="s">
        <v>111</v>
      </c>
      <c r="B9" s="25" t="s">
        <v>112</v>
      </c>
      <c r="C9" s="26" t="s">
        <v>22</v>
      </c>
      <c r="D9" s="55">
        <v>1</v>
      </c>
      <c r="E9" s="3">
        <f>ROUND(13.97*1.2619,2)</f>
        <v>17.63</v>
      </c>
      <c r="F9" s="80">
        <f>D9*E9</f>
        <v>17.63</v>
      </c>
    </row>
    <row r="10" spans="1:12" ht="31.5" customHeight="1" x14ac:dyDescent="0.2">
      <c r="A10" s="5" t="s">
        <v>204</v>
      </c>
      <c r="B10" s="86" t="s">
        <v>205</v>
      </c>
      <c r="C10" s="3" t="s">
        <v>22</v>
      </c>
      <c r="D10" s="4">
        <v>2</v>
      </c>
      <c r="E10" s="3">
        <f>ROUND(112.86*1.2619,2)</f>
        <v>142.41999999999999</v>
      </c>
      <c r="F10" s="80">
        <f>D10*E10</f>
        <v>284.83999999999997</v>
      </c>
    </row>
    <row r="11" spans="1:12" s="21" customFormat="1" ht="15" x14ac:dyDescent="0.2">
      <c r="A11" s="5" t="s">
        <v>113</v>
      </c>
      <c r="B11" s="25" t="s">
        <v>114</v>
      </c>
      <c r="C11" s="3" t="s">
        <v>22</v>
      </c>
      <c r="D11" s="4">
        <v>1</v>
      </c>
      <c r="E11" s="3">
        <f>ROUND(11.51*1.2619,2)</f>
        <v>14.52</v>
      </c>
      <c r="F11" s="80">
        <f>D11*E11</f>
        <v>14.52</v>
      </c>
      <c r="L11" s="60"/>
    </row>
    <row r="12" spans="1:12" s="22" customFormat="1" ht="30" x14ac:dyDescent="0.2">
      <c r="A12" s="5" t="s">
        <v>115</v>
      </c>
      <c r="B12" s="24" t="s">
        <v>119</v>
      </c>
      <c r="C12" s="3" t="s">
        <v>22</v>
      </c>
      <c r="D12" s="4">
        <v>2</v>
      </c>
      <c r="E12" s="3">
        <f>ROUND(8.04*1.2619,2)</f>
        <v>10.15</v>
      </c>
      <c r="F12" s="80">
        <f t="shared" ref="F12:F20" si="0">D12*E12</f>
        <v>20.3</v>
      </c>
      <c r="L12" s="60"/>
    </row>
    <row r="13" spans="1:12" s="22" customFormat="1" ht="30" x14ac:dyDescent="0.2">
      <c r="A13" s="5" t="s">
        <v>116</v>
      </c>
      <c r="B13" s="24" t="s">
        <v>120</v>
      </c>
      <c r="C13" s="3" t="s">
        <v>22</v>
      </c>
      <c r="D13" s="4">
        <v>1</v>
      </c>
      <c r="E13" s="3">
        <f>ROUND(33.6*1.2619,2)</f>
        <v>42.4</v>
      </c>
      <c r="F13" s="80">
        <f t="shared" si="0"/>
        <v>42.4</v>
      </c>
      <c r="L13" s="60"/>
    </row>
    <row r="14" spans="1:12" s="22" customFormat="1" ht="30" x14ac:dyDescent="0.2">
      <c r="A14" s="5" t="s">
        <v>117</v>
      </c>
      <c r="B14" s="25" t="s">
        <v>121</v>
      </c>
      <c r="C14" s="3" t="s">
        <v>22</v>
      </c>
      <c r="D14" s="4">
        <v>5</v>
      </c>
      <c r="E14" s="3">
        <f>ROUND(131.65*1.2619,2)</f>
        <v>166.13</v>
      </c>
      <c r="F14" s="80">
        <f t="shared" si="0"/>
        <v>830.65</v>
      </c>
      <c r="L14" s="60"/>
    </row>
    <row r="15" spans="1:12" s="2" customFormat="1" ht="30" x14ac:dyDescent="0.25">
      <c r="A15" s="5" t="s">
        <v>118</v>
      </c>
      <c r="B15" s="25" t="s">
        <v>122</v>
      </c>
      <c r="C15" s="3" t="s">
        <v>22</v>
      </c>
      <c r="D15" s="4">
        <v>5</v>
      </c>
      <c r="E15" s="3">
        <f>ROUND(144*1.2619,2)</f>
        <v>181.71</v>
      </c>
      <c r="F15" s="80">
        <f t="shared" si="0"/>
        <v>908.55000000000007</v>
      </c>
      <c r="L15" s="60"/>
    </row>
    <row r="16" spans="1:12" ht="15" x14ac:dyDescent="0.2">
      <c r="A16" s="5" t="s">
        <v>206</v>
      </c>
      <c r="B16" s="25" t="s">
        <v>207</v>
      </c>
      <c r="C16" s="3" t="s">
        <v>22</v>
      </c>
      <c r="D16" s="4">
        <v>1</v>
      </c>
      <c r="E16" s="3">
        <f>ROUND(183.4*1.2619,2)</f>
        <v>231.43</v>
      </c>
      <c r="F16" s="80">
        <f t="shared" si="0"/>
        <v>231.43</v>
      </c>
    </row>
    <row r="17" spans="1:12" ht="36" customHeight="1" x14ac:dyDescent="0.2">
      <c r="A17" s="5" t="s">
        <v>208</v>
      </c>
      <c r="B17" s="86" t="s">
        <v>209</v>
      </c>
      <c r="C17" s="3" t="s">
        <v>22</v>
      </c>
      <c r="D17" s="4">
        <v>2</v>
      </c>
      <c r="E17" s="3">
        <f>ROUND(423.14*1.2619,2)</f>
        <v>533.96</v>
      </c>
      <c r="F17" s="80">
        <f t="shared" si="0"/>
        <v>1067.92</v>
      </c>
    </row>
    <row r="18" spans="1:12" ht="30" x14ac:dyDescent="0.2">
      <c r="A18" s="5" t="s">
        <v>123</v>
      </c>
      <c r="B18" s="25" t="s">
        <v>125</v>
      </c>
      <c r="C18" s="3" t="s">
        <v>22</v>
      </c>
      <c r="D18" s="4">
        <v>1</v>
      </c>
      <c r="E18" s="3">
        <f>ROUND(80.88*1.2619,2)</f>
        <v>102.06</v>
      </c>
      <c r="F18" s="80">
        <f t="shared" si="0"/>
        <v>102.06</v>
      </c>
    </row>
    <row r="19" spans="1:12" ht="30" x14ac:dyDescent="0.2">
      <c r="A19" s="5" t="s">
        <v>124</v>
      </c>
      <c r="B19" s="25" t="s">
        <v>126</v>
      </c>
      <c r="C19" s="3" t="s">
        <v>22</v>
      </c>
      <c r="D19" s="4">
        <v>1</v>
      </c>
      <c r="E19" s="3">
        <f>ROUND(33.42*1.2619,2)</f>
        <v>42.17</v>
      </c>
      <c r="F19" s="80">
        <f t="shared" si="0"/>
        <v>42.17</v>
      </c>
    </row>
    <row r="20" spans="1:12" ht="15" x14ac:dyDescent="0.2">
      <c r="A20" s="54"/>
      <c r="B20" s="96" t="s">
        <v>270</v>
      </c>
      <c r="C20" s="26" t="s">
        <v>22</v>
      </c>
      <c r="D20" s="55">
        <v>1</v>
      </c>
      <c r="E20" s="3">
        <v>350</v>
      </c>
      <c r="F20" s="80">
        <f t="shared" si="0"/>
        <v>350</v>
      </c>
    </row>
    <row r="21" spans="1:12" s="61" customFormat="1" ht="15" x14ac:dyDescent="0.2">
      <c r="B21" s="56"/>
      <c r="C21" s="26"/>
      <c r="D21" s="221" t="s">
        <v>269</v>
      </c>
      <c r="E21" s="221"/>
      <c r="F21" s="79">
        <f>SUM(F6:F20)</f>
        <v>6462.1800000000012</v>
      </c>
    </row>
    <row r="22" spans="1:12" ht="15" x14ac:dyDescent="0.2">
      <c r="A22" s="54"/>
      <c r="B22" s="56"/>
      <c r="C22" s="26"/>
      <c r="D22" s="55"/>
      <c r="E22" s="3"/>
      <c r="F22" s="3"/>
    </row>
    <row r="23" spans="1:12" ht="31.5" customHeight="1" x14ac:dyDescent="0.2">
      <c r="A23" s="222" t="s">
        <v>280</v>
      </c>
      <c r="B23" s="222"/>
      <c r="C23" s="222"/>
      <c r="D23" s="222"/>
      <c r="E23" s="222"/>
      <c r="F23" s="222"/>
    </row>
    <row r="24" spans="1:12" s="21" customFormat="1" ht="14.25" x14ac:dyDescent="0.2">
      <c r="A24" s="52" t="s">
        <v>27</v>
      </c>
      <c r="B24" s="53" t="s">
        <v>28</v>
      </c>
      <c r="C24" s="53" t="s">
        <v>29</v>
      </c>
      <c r="D24" s="53" t="s">
        <v>30</v>
      </c>
      <c r="E24" s="53" t="s">
        <v>82</v>
      </c>
      <c r="F24" s="53" t="s">
        <v>83</v>
      </c>
    </row>
    <row r="25" spans="1:12" ht="15" x14ac:dyDescent="0.2">
      <c r="A25" s="5" t="s">
        <v>127</v>
      </c>
      <c r="B25" s="25" t="s">
        <v>96</v>
      </c>
      <c r="C25" s="3" t="s">
        <v>11</v>
      </c>
      <c r="D25" s="4">
        <v>0.95</v>
      </c>
      <c r="E25" s="80">
        <v>9.85</v>
      </c>
      <c r="F25" s="80">
        <f>ROUND(D25*E25,2)</f>
        <v>9.36</v>
      </c>
      <c r="G25" s="62"/>
      <c r="H25" s="63"/>
      <c r="I25" s="64"/>
      <c r="J25" s="65"/>
      <c r="K25" s="66"/>
      <c r="L25" s="67"/>
    </row>
    <row r="26" spans="1:12" ht="15" x14ac:dyDescent="0.2">
      <c r="A26" s="5" t="s">
        <v>128</v>
      </c>
      <c r="B26" s="25" t="s">
        <v>84</v>
      </c>
      <c r="C26" s="3" t="s">
        <v>10</v>
      </c>
      <c r="D26" s="4">
        <v>2.13</v>
      </c>
      <c r="E26" s="80">
        <v>9.94</v>
      </c>
      <c r="F26" s="80">
        <f t="shared" ref="F26:F34" si="1">ROUND(D26*E26,2)</f>
        <v>21.17</v>
      </c>
      <c r="G26" s="68"/>
      <c r="H26" s="69"/>
      <c r="I26" s="70"/>
      <c r="J26" s="71"/>
      <c r="K26" s="71"/>
      <c r="L26" s="67"/>
    </row>
    <row r="27" spans="1:12" ht="15" x14ac:dyDescent="0.2">
      <c r="A27" s="5" t="s">
        <v>86</v>
      </c>
      <c r="B27" s="25" t="s">
        <v>97</v>
      </c>
      <c r="C27" s="3" t="s">
        <v>11</v>
      </c>
      <c r="D27" s="4">
        <v>0.13</v>
      </c>
      <c r="E27" s="80">
        <v>492.8</v>
      </c>
      <c r="F27" s="80">
        <f t="shared" si="1"/>
        <v>64.06</v>
      </c>
      <c r="G27" s="62"/>
      <c r="H27" s="63"/>
      <c r="I27" s="70"/>
      <c r="J27" s="72"/>
      <c r="K27" s="67"/>
      <c r="L27" s="67"/>
    </row>
    <row r="28" spans="1:12" ht="30" x14ac:dyDescent="0.2">
      <c r="A28" s="5" t="s">
        <v>88</v>
      </c>
      <c r="B28" s="25" t="s">
        <v>98</v>
      </c>
      <c r="C28" s="3" t="s">
        <v>12</v>
      </c>
      <c r="D28" s="4">
        <v>2.16</v>
      </c>
      <c r="E28" s="80">
        <v>54.41</v>
      </c>
      <c r="F28" s="80">
        <f t="shared" si="1"/>
        <v>117.53</v>
      </c>
      <c r="G28" s="68"/>
      <c r="H28" s="70"/>
      <c r="I28" s="71"/>
      <c r="J28" s="71"/>
      <c r="K28" s="71"/>
      <c r="L28" s="73"/>
    </row>
    <row r="29" spans="1:12" ht="15" x14ac:dyDescent="0.2">
      <c r="A29" s="5" t="s">
        <v>129</v>
      </c>
      <c r="B29" s="25" t="s">
        <v>99</v>
      </c>
      <c r="C29" s="3" t="s">
        <v>12</v>
      </c>
      <c r="D29" s="4">
        <v>2</v>
      </c>
      <c r="E29" s="80">
        <v>29.87</v>
      </c>
      <c r="F29" s="80">
        <f t="shared" si="1"/>
        <v>59.74</v>
      </c>
      <c r="G29" s="74"/>
      <c r="H29" s="75"/>
      <c r="I29" s="70"/>
      <c r="J29" s="75"/>
      <c r="K29" s="76"/>
      <c r="L29" s="73"/>
    </row>
    <row r="30" spans="1:12" ht="15" x14ac:dyDescent="0.2">
      <c r="A30" s="5" t="s">
        <v>92</v>
      </c>
      <c r="B30" s="25" t="s">
        <v>100</v>
      </c>
      <c r="C30" s="3" t="s">
        <v>12</v>
      </c>
      <c r="D30" s="4">
        <v>2</v>
      </c>
      <c r="E30" s="80">
        <v>5.98</v>
      </c>
      <c r="F30" s="80">
        <f t="shared" si="1"/>
        <v>11.96</v>
      </c>
      <c r="G30" s="74"/>
      <c r="H30" s="75"/>
      <c r="I30" s="77"/>
      <c r="J30" s="75"/>
      <c r="K30" s="76"/>
      <c r="L30" s="73"/>
    </row>
    <row r="31" spans="1:12" ht="30" x14ac:dyDescent="0.2">
      <c r="A31" s="5" t="s">
        <v>94</v>
      </c>
      <c r="B31" s="25" t="s">
        <v>101</v>
      </c>
      <c r="C31" s="3" t="s">
        <v>12</v>
      </c>
      <c r="D31" s="4">
        <v>0.03</v>
      </c>
      <c r="E31" s="80">
        <v>15.93</v>
      </c>
      <c r="F31" s="80">
        <f t="shared" si="1"/>
        <v>0.48</v>
      </c>
      <c r="G31" s="71"/>
      <c r="H31" s="71"/>
      <c r="I31" s="71"/>
      <c r="J31" s="71"/>
      <c r="K31" s="71"/>
      <c r="L31" s="71"/>
    </row>
    <row r="32" spans="1:12" ht="30" x14ac:dyDescent="0.2">
      <c r="A32" s="54" t="s">
        <v>130</v>
      </c>
      <c r="B32" s="58" t="s">
        <v>102</v>
      </c>
      <c r="C32" s="26" t="s">
        <v>11</v>
      </c>
      <c r="D32" s="55">
        <v>2.4</v>
      </c>
      <c r="E32" s="80">
        <v>66.44</v>
      </c>
      <c r="F32" s="80">
        <f t="shared" si="1"/>
        <v>159.46</v>
      </c>
      <c r="G32" s="71"/>
      <c r="H32" s="71"/>
      <c r="I32" s="71"/>
      <c r="J32" s="71"/>
      <c r="K32" s="71"/>
      <c r="L32" s="71"/>
    </row>
    <row r="33" spans="1:12" ht="30" x14ac:dyDescent="0.2">
      <c r="A33" s="54" t="s">
        <v>131</v>
      </c>
      <c r="B33" s="58" t="s">
        <v>103</v>
      </c>
      <c r="C33" s="26" t="s">
        <v>11</v>
      </c>
      <c r="D33" s="55">
        <v>2.4</v>
      </c>
      <c r="E33" s="80">
        <v>7.55</v>
      </c>
      <c r="F33" s="80">
        <f t="shared" si="1"/>
        <v>18.12</v>
      </c>
      <c r="G33" s="71"/>
      <c r="H33" s="71"/>
      <c r="I33" s="71"/>
      <c r="J33" s="71"/>
      <c r="K33" s="71"/>
      <c r="L33" s="71"/>
    </row>
    <row r="34" spans="1:12" ht="21.75" customHeight="1" x14ac:dyDescent="0.2">
      <c r="A34" s="54" t="s">
        <v>132</v>
      </c>
      <c r="B34" s="58" t="s">
        <v>104</v>
      </c>
      <c r="C34" s="26" t="s">
        <v>21</v>
      </c>
      <c r="D34" s="55">
        <v>36</v>
      </c>
      <c r="E34" s="80">
        <v>5.0999999999999996</v>
      </c>
      <c r="F34" s="80">
        <f t="shared" si="1"/>
        <v>183.6</v>
      </c>
      <c r="G34" s="71"/>
      <c r="H34" s="71"/>
      <c r="I34" s="71"/>
      <c r="J34" s="71"/>
      <c r="K34" s="71"/>
      <c r="L34" s="71"/>
    </row>
    <row r="35" spans="1:12" ht="21.75" customHeight="1" x14ac:dyDescent="0.2">
      <c r="A35" s="54"/>
      <c r="B35" s="58"/>
      <c r="C35" s="26"/>
      <c r="D35" s="221" t="s">
        <v>269</v>
      </c>
      <c r="E35" s="221"/>
      <c r="F35" s="79">
        <f>SUM(F25:F34)</f>
        <v>645.48</v>
      </c>
      <c r="G35" s="71"/>
      <c r="H35" s="71"/>
      <c r="I35" s="71"/>
      <c r="J35" s="71"/>
      <c r="K35" s="71"/>
      <c r="L35" s="71"/>
    </row>
    <row r="36" spans="1:12" ht="21.75" customHeight="1" x14ac:dyDescent="0.2">
      <c r="A36" s="54"/>
      <c r="B36" s="58"/>
      <c r="C36" s="26"/>
      <c r="D36" s="129"/>
      <c r="E36" s="129"/>
      <c r="F36" s="79"/>
      <c r="G36" s="71"/>
      <c r="H36" s="71"/>
      <c r="I36" s="71"/>
      <c r="J36" s="71"/>
      <c r="K36" s="71"/>
      <c r="L36" s="71"/>
    </row>
    <row r="37" spans="1:12" ht="15" x14ac:dyDescent="0.2">
      <c r="A37" s="225" t="s">
        <v>279</v>
      </c>
      <c r="B37" s="225"/>
      <c r="C37" s="225"/>
      <c r="D37" s="225"/>
      <c r="E37" s="225"/>
      <c r="F37" s="3"/>
    </row>
    <row r="38" spans="1:12" s="21" customFormat="1" ht="14.25" x14ac:dyDescent="0.2">
      <c r="A38" s="52" t="s">
        <v>27</v>
      </c>
      <c r="B38" s="53" t="s">
        <v>28</v>
      </c>
      <c r="C38" s="53" t="s">
        <v>29</v>
      </c>
      <c r="D38" s="53" t="s">
        <v>30</v>
      </c>
      <c r="E38" s="53" t="s">
        <v>82</v>
      </c>
      <c r="F38" s="53" t="s">
        <v>83</v>
      </c>
    </row>
    <row r="39" spans="1:12" ht="15" x14ac:dyDescent="0.2">
      <c r="A39" s="54" t="s">
        <v>133</v>
      </c>
      <c r="B39" s="50" t="s">
        <v>139</v>
      </c>
      <c r="C39" s="26" t="s">
        <v>11</v>
      </c>
      <c r="D39" s="55">
        <v>1.1000000000000001</v>
      </c>
      <c r="E39" s="80">
        <v>1301.73</v>
      </c>
      <c r="F39" s="80">
        <f t="shared" ref="F39:F49" si="2">ROUND(D39*E39,2)</f>
        <v>1431.9</v>
      </c>
    </row>
    <row r="40" spans="1:12" ht="15" x14ac:dyDescent="0.2">
      <c r="A40" s="54" t="s">
        <v>134</v>
      </c>
      <c r="B40" s="50" t="s">
        <v>140</v>
      </c>
      <c r="C40" s="26" t="s">
        <v>11</v>
      </c>
      <c r="D40" s="55">
        <v>0.08</v>
      </c>
      <c r="E40" s="80">
        <v>1005.49</v>
      </c>
      <c r="F40" s="80">
        <f t="shared" si="2"/>
        <v>80.44</v>
      </c>
    </row>
    <row r="41" spans="1:12" ht="15" x14ac:dyDescent="0.2">
      <c r="A41" s="54" t="s">
        <v>135</v>
      </c>
      <c r="B41" s="50" t="s">
        <v>141</v>
      </c>
      <c r="C41" s="26" t="s">
        <v>11</v>
      </c>
      <c r="D41" s="55">
        <v>7.0000000000000007E-2</v>
      </c>
      <c r="E41" s="80">
        <v>986.84</v>
      </c>
      <c r="F41" s="80">
        <f t="shared" si="2"/>
        <v>69.08</v>
      </c>
    </row>
    <row r="42" spans="1:12" ht="15" x14ac:dyDescent="0.2">
      <c r="A42" s="54" t="s">
        <v>136</v>
      </c>
      <c r="B42" s="50" t="s">
        <v>142</v>
      </c>
      <c r="C42" s="26" t="s">
        <v>11</v>
      </c>
      <c r="D42" s="55">
        <v>0.06</v>
      </c>
      <c r="E42" s="80">
        <v>986.84</v>
      </c>
      <c r="F42" s="80">
        <f t="shared" si="2"/>
        <v>59.21</v>
      </c>
    </row>
    <row r="43" spans="1:12" ht="15" x14ac:dyDescent="0.2">
      <c r="A43" s="54" t="s">
        <v>137</v>
      </c>
      <c r="B43" s="50" t="s">
        <v>143</v>
      </c>
      <c r="C43" s="26" t="s">
        <v>11</v>
      </c>
      <c r="D43" s="55">
        <v>0.04</v>
      </c>
      <c r="E43" s="80">
        <v>986.84</v>
      </c>
      <c r="F43" s="80">
        <f t="shared" si="2"/>
        <v>39.47</v>
      </c>
    </row>
    <row r="44" spans="1:12" ht="15" x14ac:dyDescent="0.2">
      <c r="A44" s="54" t="s">
        <v>138</v>
      </c>
      <c r="B44" s="50" t="s">
        <v>144</v>
      </c>
      <c r="C44" s="26" t="s">
        <v>11</v>
      </c>
      <c r="D44" s="55">
        <v>0.14000000000000001</v>
      </c>
      <c r="E44" s="80">
        <v>986.84</v>
      </c>
      <c r="F44" s="80">
        <f t="shared" si="2"/>
        <v>138.16</v>
      </c>
    </row>
    <row r="45" spans="1:12" s="22" customFormat="1" ht="15" x14ac:dyDescent="0.2">
      <c r="A45" s="223" t="s">
        <v>8</v>
      </c>
      <c r="B45" s="223"/>
      <c r="C45" s="223"/>
      <c r="D45" s="223"/>
      <c r="E45" s="223"/>
      <c r="F45" s="80"/>
    </row>
    <row r="46" spans="1:12" ht="30" x14ac:dyDescent="0.2">
      <c r="A46" s="54" t="s">
        <v>145</v>
      </c>
      <c r="B46" s="83" t="s">
        <v>148</v>
      </c>
      <c r="C46" s="3" t="s">
        <v>20</v>
      </c>
      <c r="D46" s="55">
        <v>6</v>
      </c>
      <c r="E46" s="80">
        <f>ROUND(10.23*1.2619,2)</f>
        <v>12.91</v>
      </c>
      <c r="F46" s="80">
        <f t="shared" si="2"/>
        <v>77.459999999999994</v>
      </c>
    </row>
    <row r="47" spans="1:12" ht="15" x14ac:dyDescent="0.2">
      <c r="A47" s="54" t="s">
        <v>146</v>
      </c>
      <c r="B47" s="56" t="s">
        <v>149</v>
      </c>
      <c r="C47" s="3" t="s">
        <v>20</v>
      </c>
      <c r="D47" s="55">
        <v>12</v>
      </c>
      <c r="E47" s="80">
        <f>ROUND((5.34/1.309)*1.2619,2)</f>
        <v>5.15</v>
      </c>
      <c r="F47" s="80">
        <f t="shared" si="2"/>
        <v>61.8</v>
      </c>
    </row>
    <row r="48" spans="1:12" ht="15" x14ac:dyDescent="0.2">
      <c r="A48" s="223" t="s">
        <v>9</v>
      </c>
      <c r="B48" s="223"/>
      <c r="C48" s="223"/>
      <c r="D48" s="223"/>
      <c r="E48" s="223"/>
      <c r="F48" s="80"/>
    </row>
    <row r="49" spans="1:6" ht="36" customHeight="1" x14ac:dyDescent="0.2">
      <c r="A49" s="54" t="s">
        <v>147</v>
      </c>
      <c r="B49" s="51" t="s">
        <v>150</v>
      </c>
      <c r="C49" s="3" t="s">
        <v>20</v>
      </c>
      <c r="D49" s="55">
        <v>6</v>
      </c>
      <c r="E49" s="80">
        <f>ROUND((10.71/1.309)*1.2619,2)</f>
        <v>10.32</v>
      </c>
      <c r="F49" s="80">
        <f t="shared" si="2"/>
        <v>61.92</v>
      </c>
    </row>
    <row r="50" spans="1:6" ht="15" x14ac:dyDescent="0.2">
      <c r="D50" s="221" t="s">
        <v>269</v>
      </c>
      <c r="E50" s="221"/>
      <c r="F50" s="79">
        <f>SUM(F39:F49)</f>
        <v>2019.4400000000003</v>
      </c>
    </row>
    <row r="52" spans="1:6" ht="14.25" x14ac:dyDescent="0.2">
      <c r="E52" s="130" t="s">
        <v>83</v>
      </c>
      <c r="F52" s="131">
        <f>SUM(F21+F35+F50)</f>
        <v>9127.1000000000022</v>
      </c>
    </row>
  </sheetData>
  <mergeCells count="9">
    <mergeCell ref="D50:E50"/>
    <mergeCell ref="B3:F3"/>
    <mergeCell ref="A23:F23"/>
    <mergeCell ref="A45:E45"/>
    <mergeCell ref="A48:E48"/>
    <mergeCell ref="A1:E1"/>
    <mergeCell ref="A37:E37"/>
    <mergeCell ref="D35:E35"/>
    <mergeCell ref="D21:E21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0" orientation="portrait" horizontalDpi="300" verticalDpi="300" r:id="rId1"/>
  <headerFooter alignWithMargins="0">
    <oddHeader>&amp;L&amp;"Arial,Itálico"&amp;11HISTÓRICOS ORÇAMENTÁRIOS</oddHeader>
    <oddFooter>&amp;RPágina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zoomScale="86" zoomScaleNormal="86" workbookViewId="0">
      <selection activeCell="A49" sqref="A49"/>
    </sheetView>
  </sheetViews>
  <sheetFormatPr defaultRowHeight="12.75" x14ac:dyDescent="0.2"/>
  <cols>
    <col min="1" max="1" width="11.5703125" customWidth="1"/>
    <col min="2" max="2" width="43.140625" customWidth="1"/>
    <col min="3" max="3" width="7.7109375" customWidth="1"/>
    <col min="5" max="5" width="10.5703125" customWidth="1"/>
    <col min="6" max="6" width="10.28515625" customWidth="1"/>
  </cols>
  <sheetData>
    <row r="1" spans="1:6" ht="15" x14ac:dyDescent="0.2">
      <c r="A1" s="219" t="s">
        <v>31</v>
      </c>
      <c r="B1" s="219"/>
      <c r="C1" s="219"/>
      <c r="D1" s="219"/>
      <c r="E1" s="219"/>
      <c r="F1" s="219"/>
    </row>
    <row r="2" spans="1:6" s="2" customFormat="1" ht="15" x14ac:dyDescent="0.25">
      <c r="A2" s="59"/>
      <c r="B2" s="59"/>
      <c r="C2" s="59"/>
      <c r="D2" s="59"/>
      <c r="E2" s="59"/>
      <c r="F2" s="50"/>
    </row>
    <row r="3" spans="1:6" s="2" customFormat="1" ht="30" customHeight="1" x14ac:dyDescent="0.25">
      <c r="A3" s="119" t="s">
        <v>482</v>
      </c>
      <c r="B3" s="216" t="s">
        <v>268</v>
      </c>
      <c r="C3" s="216"/>
      <c r="D3" s="216"/>
      <c r="E3" s="216"/>
      <c r="F3" s="216"/>
    </row>
    <row r="4" spans="1:6" s="2" customFormat="1" ht="15" x14ac:dyDescent="0.25">
      <c r="A4" s="119"/>
      <c r="B4" s="113"/>
      <c r="C4" s="113"/>
      <c r="D4" s="113"/>
      <c r="E4" s="113"/>
      <c r="F4" s="113"/>
    </row>
    <row r="5" spans="1:6" s="2" customFormat="1" ht="15" x14ac:dyDescent="0.25">
      <c r="A5" s="116">
        <v>13</v>
      </c>
      <c r="B5" s="126" t="s">
        <v>79</v>
      </c>
      <c r="C5" s="113"/>
      <c r="D5" s="113"/>
      <c r="E5" s="113"/>
      <c r="F5" s="113"/>
    </row>
    <row r="6" spans="1:6" s="2" customFormat="1" ht="14.25" customHeight="1" x14ac:dyDescent="0.25">
      <c r="A6" s="116" t="s">
        <v>506</v>
      </c>
      <c r="B6" s="126" t="s">
        <v>41</v>
      </c>
      <c r="C6" s="113"/>
      <c r="D6" s="113"/>
      <c r="E6" s="113"/>
      <c r="F6" s="113"/>
    </row>
    <row r="7" spans="1:6" s="2" customFormat="1" ht="15" x14ac:dyDescent="0.25">
      <c r="A7" s="125"/>
      <c r="B7" s="114"/>
    </row>
    <row r="8" spans="1:6" s="2" customFormat="1" ht="15" x14ac:dyDescent="0.25">
      <c r="A8" s="52" t="s">
        <v>27</v>
      </c>
      <c r="B8" s="53" t="s">
        <v>28</v>
      </c>
      <c r="C8" s="53" t="s">
        <v>29</v>
      </c>
      <c r="D8" s="53" t="s">
        <v>30</v>
      </c>
      <c r="E8" s="53" t="s">
        <v>82</v>
      </c>
      <c r="F8" s="53" t="s">
        <v>83</v>
      </c>
    </row>
    <row r="9" spans="1:6" s="2" customFormat="1" ht="30" x14ac:dyDescent="0.25">
      <c r="A9" s="94" t="s">
        <v>152</v>
      </c>
      <c r="B9" s="127" t="s">
        <v>42</v>
      </c>
      <c r="C9" s="91" t="s">
        <v>0</v>
      </c>
      <c r="D9" s="91">
        <v>1</v>
      </c>
      <c r="E9" s="4">
        <v>39</v>
      </c>
      <c r="F9" s="4">
        <f>E9*D9</f>
        <v>39</v>
      </c>
    </row>
    <row r="10" spans="1:6" s="2" customFormat="1" ht="15" x14ac:dyDescent="0.25">
      <c r="A10" s="114" t="s">
        <v>152</v>
      </c>
      <c r="B10" s="127" t="s">
        <v>43</v>
      </c>
      <c r="C10" s="91" t="s">
        <v>0</v>
      </c>
      <c r="D10" s="91">
        <v>1</v>
      </c>
      <c r="E10" s="4">
        <v>49.42</v>
      </c>
      <c r="F10" s="4">
        <f t="shared" ref="F10:F25" si="0">E10*D10</f>
        <v>49.42</v>
      </c>
    </row>
    <row r="11" spans="1:6" s="2" customFormat="1" ht="15" x14ac:dyDescent="0.25">
      <c r="A11" s="114" t="s">
        <v>152</v>
      </c>
      <c r="B11" s="127" t="s">
        <v>80</v>
      </c>
      <c r="C11" s="91" t="s">
        <v>0</v>
      </c>
      <c r="D11" s="91">
        <v>1</v>
      </c>
      <c r="E11" s="4">
        <v>32.56</v>
      </c>
      <c r="F11" s="4">
        <f t="shared" si="0"/>
        <v>32.56</v>
      </c>
    </row>
    <row r="12" spans="1:6" s="2" customFormat="1" ht="15" x14ac:dyDescent="0.25">
      <c r="A12" s="114" t="s">
        <v>152</v>
      </c>
      <c r="B12" s="127" t="s">
        <v>45</v>
      </c>
      <c r="C12" s="91" t="s">
        <v>0</v>
      </c>
      <c r="D12" s="91">
        <v>1</v>
      </c>
      <c r="E12" s="4">
        <v>5.86</v>
      </c>
      <c r="F12" s="4">
        <f t="shared" si="0"/>
        <v>5.86</v>
      </c>
    </row>
    <row r="13" spans="1:6" s="2" customFormat="1" ht="15" x14ac:dyDescent="0.25">
      <c r="A13" s="114" t="s">
        <v>152</v>
      </c>
      <c r="B13" s="127" t="s">
        <v>46</v>
      </c>
      <c r="C13" s="91" t="s">
        <v>0</v>
      </c>
      <c r="D13" s="91">
        <v>1</v>
      </c>
      <c r="E13" s="4">
        <v>5.86</v>
      </c>
      <c r="F13" s="4">
        <f t="shared" si="0"/>
        <v>5.86</v>
      </c>
    </row>
    <row r="14" spans="1:6" s="2" customFormat="1" ht="15" x14ac:dyDescent="0.25">
      <c r="A14" s="114" t="s">
        <v>152</v>
      </c>
      <c r="B14" s="127" t="s">
        <v>47</v>
      </c>
      <c r="C14" s="91" t="s">
        <v>1</v>
      </c>
      <c r="D14" s="91">
        <v>12</v>
      </c>
      <c r="E14" s="4">
        <v>13.2</v>
      </c>
      <c r="F14" s="4">
        <f t="shared" si="0"/>
        <v>158.39999999999998</v>
      </c>
    </row>
    <row r="15" spans="1:6" s="2" customFormat="1" ht="15" x14ac:dyDescent="0.25">
      <c r="A15" s="114" t="s">
        <v>152</v>
      </c>
      <c r="B15" s="127" t="s">
        <v>48</v>
      </c>
      <c r="C15" s="91" t="s">
        <v>0</v>
      </c>
      <c r="D15" s="91">
        <v>6</v>
      </c>
      <c r="E15" s="4">
        <v>1.53</v>
      </c>
      <c r="F15" s="4">
        <f t="shared" si="0"/>
        <v>9.18</v>
      </c>
    </row>
    <row r="16" spans="1:6" s="2" customFormat="1" ht="15" x14ac:dyDescent="0.25">
      <c r="A16" s="114" t="s">
        <v>152</v>
      </c>
      <c r="B16" s="127" t="s">
        <v>49</v>
      </c>
      <c r="C16" s="91" t="s">
        <v>0</v>
      </c>
      <c r="D16" s="91">
        <v>4</v>
      </c>
      <c r="E16" s="4">
        <v>2.69</v>
      </c>
      <c r="F16" s="4">
        <f t="shared" si="0"/>
        <v>10.76</v>
      </c>
    </row>
    <row r="17" spans="1:6" s="2" customFormat="1" ht="15" x14ac:dyDescent="0.25">
      <c r="A17" s="114" t="s">
        <v>152</v>
      </c>
      <c r="B17" s="127" t="s">
        <v>50</v>
      </c>
      <c r="C17" s="91" t="s">
        <v>0</v>
      </c>
      <c r="D17" s="91">
        <v>4</v>
      </c>
      <c r="E17" s="4">
        <v>4.9000000000000004</v>
      </c>
      <c r="F17" s="4">
        <f t="shared" si="0"/>
        <v>19.600000000000001</v>
      </c>
    </row>
    <row r="18" spans="1:6" s="2" customFormat="1" ht="15" x14ac:dyDescent="0.25">
      <c r="A18" s="114" t="s">
        <v>152</v>
      </c>
      <c r="B18" s="127" t="s">
        <v>51</v>
      </c>
      <c r="C18" s="91" t="s">
        <v>0</v>
      </c>
      <c r="D18" s="91">
        <v>2</v>
      </c>
      <c r="E18" s="4">
        <v>3.48</v>
      </c>
      <c r="F18" s="4">
        <f t="shared" si="0"/>
        <v>6.96</v>
      </c>
    </row>
    <row r="19" spans="1:6" s="2" customFormat="1" ht="15" x14ac:dyDescent="0.25">
      <c r="A19" s="114" t="s">
        <v>152</v>
      </c>
      <c r="B19" s="127" t="s">
        <v>52</v>
      </c>
      <c r="C19" s="91" t="s">
        <v>0</v>
      </c>
      <c r="D19" s="91">
        <v>1</v>
      </c>
      <c r="E19" s="4">
        <v>3.48</v>
      </c>
      <c r="F19" s="4">
        <f t="shared" si="0"/>
        <v>3.48</v>
      </c>
    </row>
    <row r="20" spans="1:6" s="2" customFormat="1" ht="15" x14ac:dyDescent="0.25">
      <c r="A20" s="114" t="s">
        <v>152</v>
      </c>
      <c r="B20" s="127" t="s">
        <v>53</v>
      </c>
      <c r="C20" s="91" t="s">
        <v>0</v>
      </c>
      <c r="D20" s="91">
        <v>1</v>
      </c>
      <c r="E20" s="4">
        <v>3.48</v>
      </c>
      <c r="F20" s="4">
        <f t="shared" si="0"/>
        <v>3.48</v>
      </c>
    </row>
    <row r="21" spans="1:6" s="2" customFormat="1" ht="15" x14ac:dyDescent="0.25">
      <c r="A21" s="114" t="s">
        <v>152</v>
      </c>
      <c r="B21" s="127" t="s">
        <v>54</v>
      </c>
      <c r="C21" s="91" t="s">
        <v>0</v>
      </c>
      <c r="D21" s="91">
        <v>1</v>
      </c>
      <c r="E21" s="4">
        <v>6.9</v>
      </c>
      <c r="F21" s="4">
        <f t="shared" si="0"/>
        <v>6.9</v>
      </c>
    </row>
    <row r="22" spans="1:6" s="2" customFormat="1" ht="15" x14ac:dyDescent="0.25">
      <c r="A22" s="114" t="s">
        <v>152</v>
      </c>
      <c r="B22" s="127" t="s">
        <v>55</v>
      </c>
      <c r="C22" s="91" t="s">
        <v>0</v>
      </c>
      <c r="D22" s="91">
        <v>2</v>
      </c>
      <c r="E22" s="4">
        <f>14.96+24</f>
        <v>38.96</v>
      </c>
      <c r="F22" s="4">
        <f t="shared" si="0"/>
        <v>77.92</v>
      </c>
    </row>
    <row r="23" spans="1:6" s="2" customFormat="1" ht="15" x14ac:dyDescent="0.25">
      <c r="A23" s="114" t="s">
        <v>152</v>
      </c>
      <c r="B23" s="127" t="s">
        <v>56</v>
      </c>
      <c r="C23" s="91" t="s">
        <v>0</v>
      </c>
      <c r="D23" s="91">
        <v>1</v>
      </c>
      <c r="E23" s="4">
        <v>5.88</v>
      </c>
      <c r="F23" s="4">
        <f t="shared" si="0"/>
        <v>5.88</v>
      </c>
    </row>
    <row r="24" spans="1:6" s="2" customFormat="1" ht="15" x14ac:dyDescent="0.25">
      <c r="A24" s="114" t="s">
        <v>152</v>
      </c>
      <c r="B24" s="127" t="s">
        <v>57</v>
      </c>
      <c r="C24" s="91" t="s">
        <v>1</v>
      </c>
      <c r="D24" s="91">
        <v>40</v>
      </c>
      <c r="E24" s="4">
        <v>1.1000000000000001</v>
      </c>
      <c r="F24" s="4">
        <f t="shared" si="0"/>
        <v>44</v>
      </c>
    </row>
    <row r="25" spans="1:6" s="2" customFormat="1" ht="15" x14ac:dyDescent="0.25">
      <c r="A25" s="114" t="s">
        <v>152</v>
      </c>
      <c r="B25" s="127" t="s">
        <v>58</v>
      </c>
      <c r="C25" s="91" t="s">
        <v>1</v>
      </c>
      <c r="D25" s="91">
        <v>15</v>
      </c>
      <c r="E25" s="4">
        <v>0.7</v>
      </c>
      <c r="F25" s="4">
        <f t="shared" si="0"/>
        <v>10.5</v>
      </c>
    </row>
    <row r="26" spans="1:6" s="2" customFormat="1" ht="15" x14ac:dyDescent="0.25">
      <c r="A26" s="94"/>
      <c r="B26" s="107"/>
      <c r="C26" s="91"/>
      <c r="D26" s="217" t="s">
        <v>269</v>
      </c>
      <c r="E26" s="217"/>
      <c r="F26" s="100">
        <f>SUM(F9:F25)</f>
        <v>489.76000000000005</v>
      </c>
    </row>
    <row r="27" spans="1:6" s="2" customFormat="1" ht="15" x14ac:dyDescent="0.25">
      <c r="A27" s="94"/>
      <c r="B27" s="107"/>
      <c r="C27" s="91"/>
      <c r="D27" s="92"/>
    </row>
    <row r="28" spans="1:6" s="2" customFormat="1" ht="15" x14ac:dyDescent="0.25">
      <c r="A28" s="116" t="s">
        <v>507</v>
      </c>
      <c r="B28" s="126" t="s">
        <v>60</v>
      </c>
      <c r="C28" s="91"/>
      <c r="D28" s="92"/>
    </row>
    <row r="29" spans="1:6" s="2" customFormat="1" ht="15" x14ac:dyDescent="0.25"/>
    <row r="30" spans="1:6" s="2" customFormat="1" ht="15" x14ac:dyDescent="0.25">
      <c r="A30" s="52" t="s">
        <v>27</v>
      </c>
      <c r="B30" s="53" t="s">
        <v>28</v>
      </c>
      <c r="C30" s="53" t="s">
        <v>29</v>
      </c>
      <c r="D30" s="53" t="s">
        <v>30</v>
      </c>
      <c r="E30" s="53" t="s">
        <v>82</v>
      </c>
      <c r="F30" s="53" t="s">
        <v>83</v>
      </c>
    </row>
    <row r="31" spans="1:6" s="2" customFormat="1" ht="15" x14ac:dyDescent="0.25">
      <c r="A31" s="114" t="s">
        <v>152</v>
      </c>
      <c r="B31" s="127" t="s">
        <v>61</v>
      </c>
      <c r="C31" s="91" t="s">
        <v>0</v>
      </c>
      <c r="D31" s="91">
        <v>1</v>
      </c>
      <c r="E31" s="92">
        <v>1</v>
      </c>
      <c r="F31" s="3">
        <f>ROUND((1017.33/1.309)*1.2619,2)</f>
        <v>980.72</v>
      </c>
    </row>
    <row r="32" spans="1:6" s="2" customFormat="1" ht="15" x14ac:dyDescent="0.25">
      <c r="A32" s="114" t="s">
        <v>152</v>
      </c>
      <c r="B32" s="127" t="s">
        <v>62</v>
      </c>
      <c r="C32" s="91" t="s">
        <v>1</v>
      </c>
      <c r="D32" s="91">
        <v>64</v>
      </c>
      <c r="E32" s="92">
        <v>72</v>
      </c>
      <c r="F32" s="3">
        <v>8.02</v>
      </c>
    </row>
    <row r="33" spans="1:6" s="2" customFormat="1" ht="15" x14ac:dyDescent="0.25">
      <c r="A33" s="114" t="s">
        <v>152</v>
      </c>
      <c r="B33" s="127" t="s">
        <v>63</v>
      </c>
      <c r="C33" s="91" t="s">
        <v>1</v>
      </c>
      <c r="D33" s="91">
        <v>16</v>
      </c>
      <c r="E33" s="92">
        <v>16</v>
      </c>
      <c r="F33" s="3">
        <v>4.9400000000000004</v>
      </c>
    </row>
    <row r="34" spans="1:6" s="2" customFormat="1" ht="30" x14ac:dyDescent="0.25">
      <c r="A34" s="90" t="s">
        <v>152</v>
      </c>
      <c r="B34" s="127" t="s">
        <v>64</v>
      </c>
      <c r="C34" s="91" t="s">
        <v>65</v>
      </c>
      <c r="D34" s="91">
        <v>1</v>
      </c>
      <c r="E34" s="92">
        <v>1</v>
      </c>
      <c r="F34" s="3">
        <v>80.14</v>
      </c>
    </row>
    <row r="35" spans="1:6" s="2" customFormat="1" ht="15" x14ac:dyDescent="0.25">
      <c r="A35" s="114" t="s">
        <v>152</v>
      </c>
      <c r="B35" s="127" t="s">
        <v>43</v>
      </c>
      <c r="C35" s="91" t="s">
        <v>0</v>
      </c>
      <c r="D35" s="91">
        <v>1</v>
      </c>
      <c r="E35" s="92">
        <v>1</v>
      </c>
      <c r="F35" s="3">
        <v>49.42</v>
      </c>
    </row>
    <row r="36" spans="1:6" s="2" customFormat="1" ht="15" x14ac:dyDescent="0.25">
      <c r="A36" s="114" t="s">
        <v>152</v>
      </c>
      <c r="B36" s="127" t="s">
        <v>66</v>
      </c>
      <c r="C36" s="91" t="s">
        <v>0</v>
      </c>
      <c r="D36" s="91">
        <v>2</v>
      </c>
      <c r="E36" s="92">
        <v>2</v>
      </c>
      <c r="F36" s="3">
        <v>26.95</v>
      </c>
    </row>
    <row r="37" spans="1:6" s="2" customFormat="1" ht="15" x14ac:dyDescent="0.25">
      <c r="A37" s="114" t="s">
        <v>152</v>
      </c>
      <c r="B37" s="127" t="s">
        <v>67</v>
      </c>
      <c r="C37" s="91" t="s">
        <v>1</v>
      </c>
      <c r="D37" s="91">
        <v>12</v>
      </c>
      <c r="E37" s="92">
        <v>12</v>
      </c>
      <c r="F37" s="3">
        <v>13.96</v>
      </c>
    </row>
    <row r="38" spans="1:6" s="2" customFormat="1" ht="15" x14ac:dyDescent="0.25">
      <c r="A38" s="114" t="s">
        <v>152</v>
      </c>
      <c r="B38" s="127" t="s">
        <v>68</v>
      </c>
      <c r="C38" s="91" t="s">
        <v>1</v>
      </c>
      <c r="D38" s="91">
        <v>2</v>
      </c>
      <c r="E38" s="92">
        <v>2</v>
      </c>
      <c r="F38" s="3">
        <v>3.58</v>
      </c>
    </row>
    <row r="39" spans="1:6" s="2" customFormat="1" ht="15" x14ac:dyDescent="0.25">
      <c r="A39" s="114" t="s">
        <v>152</v>
      </c>
      <c r="B39" s="127" t="s">
        <v>69</v>
      </c>
      <c r="C39" s="91" t="s">
        <v>1</v>
      </c>
      <c r="D39" s="91">
        <v>8</v>
      </c>
      <c r="E39" s="92">
        <v>8</v>
      </c>
      <c r="F39" s="3">
        <v>1.84</v>
      </c>
    </row>
    <row r="40" spans="1:6" s="2" customFormat="1" ht="15" x14ac:dyDescent="0.25">
      <c r="A40" s="94"/>
      <c r="B40" s="127"/>
      <c r="C40" s="91"/>
      <c r="D40" s="217" t="s">
        <v>269</v>
      </c>
      <c r="E40" s="217"/>
      <c r="F40" s="100">
        <f>SUM(F31:F39)</f>
        <v>1169.5700000000002</v>
      </c>
    </row>
    <row r="41" spans="1:6" s="2" customFormat="1" ht="15" x14ac:dyDescent="0.25">
      <c r="A41" s="94"/>
      <c r="B41" s="127"/>
      <c r="C41" s="91"/>
      <c r="D41" s="128"/>
      <c r="E41" s="128"/>
      <c r="F41" s="100"/>
    </row>
    <row r="42" spans="1:6" s="2" customFormat="1" ht="15" x14ac:dyDescent="0.25">
      <c r="A42" s="94"/>
      <c r="B42" s="127"/>
      <c r="C42" s="91"/>
      <c r="D42" s="128"/>
      <c r="E42" s="128"/>
      <c r="F42" s="100"/>
    </row>
    <row r="43" spans="1:6" s="2" customFormat="1" ht="15" x14ac:dyDescent="0.25">
      <c r="A43" s="94"/>
      <c r="B43" s="127"/>
      <c r="C43" s="91"/>
      <c r="D43" s="128"/>
      <c r="E43" s="128"/>
      <c r="F43" s="100"/>
    </row>
    <row r="44" spans="1:6" s="2" customFormat="1" ht="15" x14ac:dyDescent="0.25">
      <c r="A44" s="94"/>
      <c r="B44" s="127"/>
      <c r="C44" s="91"/>
      <c r="D44" s="128"/>
      <c r="E44" s="128"/>
      <c r="F44" s="100"/>
    </row>
    <row r="45" spans="1:6" s="2" customFormat="1" ht="15" x14ac:dyDescent="0.25">
      <c r="A45" s="94"/>
      <c r="B45" s="127"/>
      <c r="C45" s="91"/>
      <c r="D45" s="128"/>
      <c r="E45" s="128"/>
      <c r="F45" s="100"/>
    </row>
    <row r="46" spans="1:6" s="2" customFormat="1" ht="15" x14ac:dyDescent="0.25">
      <c r="A46" s="94"/>
      <c r="B46" s="127"/>
      <c r="C46" s="91"/>
      <c r="D46" s="128"/>
      <c r="E46" s="128"/>
      <c r="F46" s="100"/>
    </row>
    <row r="47" spans="1:6" s="2" customFormat="1" ht="15" x14ac:dyDescent="0.25"/>
    <row r="48" spans="1:6" s="2" customFormat="1" ht="15" x14ac:dyDescent="0.25">
      <c r="A48" s="116" t="s">
        <v>508</v>
      </c>
      <c r="B48" s="126" t="s">
        <v>71</v>
      </c>
    </row>
    <row r="49" spans="1:6" s="2" customFormat="1" ht="15" x14ac:dyDescent="0.25"/>
    <row r="50" spans="1:6" s="2" customFormat="1" ht="15" x14ac:dyDescent="0.25">
      <c r="A50" s="52" t="s">
        <v>27</v>
      </c>
      <c r="B50" s="53" t="s">
        <v>28</v>
      </c>
      <c r="C50" s="53" t="s">
        <v>29</v>
      </c>
      <c r="D50" s="53" t="s">
        <v>30</v>
      </c>
      <c r="E50" s="53" t="s">
        <v>82</v>
      </c>
      <c r="F50" s="53" t="s">
        <v>83</v>
      </c>
    </row>
    <row r="51" spans="1:6" s="2" customFormat="1" ht="78" customHeight="1" x14ac:dyDescent="0.25">
      <c r="A51" s="94" t="s">
        <v>152</v>
      </c>
      <c r="B51" s="136" t="s">
        <v>81</v>
      </c>
      <c r="C51" s="91" t="s">
        <v>0</v>
      </c>
      <c r="D51" s="91">
        <v>1</v>
      </c>
      <c r="E51" s="97">
        <v>1214</v>
      </c>
      <c r="F51" s="97">
        <f>D51*E51</f>
        <v>1214</v>
      </c>
    </row>
    <row r="52" spans="1:6" s="2" customFormat="1" ht="15" x14ac:dyDescent="0.25">
      <c r="A52" s="94" t="s">
        <v>152</v>
      </c>
      <c r="B52" s="90" t="s">
        <v>73</v>
      </c>
      <c r="C52" s="91" t="s">
        <v>0</v>
      </c>
      <c r="D52" s="91">
        <v>2</v>
      </c>
      <c r="E52" s="97">
        <v>33.380000000000003</v>
      </c>
      <c r="F52" s="50">
        <f>D52*E52</f>
        <v>66.760000000000005</v>
      </c>
    </row>
    <row r="53" spans="1:6" s="2" customFormat="1" ht="15" x14ac:dyDescent="0.25">
      <c r="A53" s="94" t="s">
        <v>152</v>
      </c>
      <c r="B53" s="90" t="s">
        <v>76</v>
      </c>
      <c r="C53" s="91" t="s">
        <v>1</v>
      </c>
      <c r="D53" s="91">
        <v>9</v>
      </c>
      <c r="E53" s="97">
        <v>9.69</v>
      </c>
      <c r="F53" s="50">
        <f>D53*E53</f>
        <v>87.21</v>
      </c>
    </row>
    <row r="54" spans="1:6" s="2" customFormat="1" ht="15" x14ac:dyDescent="0.25">
      <c r="A54" s="94" t="s">
        <v>152</v>
      </c>
      <c r="B54" s="90" t="s">
        <v>77</v>
      </c>
      <c r="C54" s="91" t="s">
        <v>1</v>
      </c>
      <c r="D54" s="91">
        <v>2</v>
      </c>
      <c r="E54" s="97">
        <v>3.56</v>
      </c>
      <c r="F54" s="50">
        <f>D54*E54</f>
        <v>7.12</v>
      </c>
    </row>
    <row r="55" spans="1:6" s="2" customFormat="1" ht="15" x14ac:dyDescent="0.25">
      <c r="A55" s="94" t="s">
        <v>152</v>
      </c>
      <c r="B55" s="90" t="s">
        <v>78</v>
      </c>
      <c r="C55" s="91" t="s">
        <v>1</v>
      </c>
      <c r="D55" s="91">
        <v>12</v>
      </c>
      <c r="E55" s="97">
        <v>1.18</v>
      </c>
      <c r="F55" s="50">
        <f>D55*E55</f>
        <v>14.16</v>
      </c>
    </row>
    <row r="56" spans="1:6" s="2" customFormat="1" ht="15" x14ac:dyDescent="0.25">
      <c r="D56" s="217" t="s">
        <v>269</v>
      </c>
      <c r="E56" s="217"/>
      <c r="F56" s="100">
        <f>SUM(F51:F55)</f>
        <v>1389.25</v>
      </c>
    </row>
    <row r="57" spans="1:6" s="2" customFormat="1" ht="15" x14ac:dyDescent="0.25"/>
    <row r="58" spans="1:6" s="2" customFormat="1" ht="15" x14ac:dyDescent="0.25">
      <c r="E58" s="57" t="s">
        <v>83</v>
      </c>
      <c r="F58" s="100">
        <f>SUM(F26+F40+F56)</f>
        <v>3048.58</v>
      </c>
    </row>
  </sheetData>
  <mergeCells count="5">
    <mergeCell ref="A1:F1"/>
    <mergeCell ref="B3:F3"/>
    <mergeCell ref="D26:E26"/>
    <mergeCell ref="D40:E40"/>
    <mergeCell ref="D56:E5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6"/>
  <dimension ref="A1:P43"/>
  <sheetViews>
    <sheetView showGridLines="0" zoomScale="75" zoomScaleNormal="75" workbookViewId="0">
      <selection activeCell="E28" sqref="E28"/>
    </sheetView>
  </sheetViews>
  <sheetFormatPr defaultRowHeight="12.75" x14ac:dyDescent="0.2"/>
  <cols>
    <col min="1" max="1" width="15.5703125" customWidth="1"/>
    <col min="2" max="2" width="53.7109375" customWidth="1"/>
    <col min="3" max="3" width="13" customWidth="1"/>
    <col min="4" max="4" width="9.28515625" customWidth="1"/>
    <col min="5" max="5" width="12" customWidth="1"/>
    <col min="6" max="6" width="13" customWidth="1"/>
    <col min="7" max="7" width="13.28515625" customWidth="1"/>
  </cols>
  <sheetData>
    <row r="1" spans="1:7" s="1" customFormat="1" ht="18.75" customHeight="1" x14ac:dyDescent="0.2">
      <c r="A1" s="214" t="s">
        <v>38</v>
      </c>
      <c r="B1" s="214"/>
      <c r="C1" s="214"/>
      <c r="D1" s="214"/>
      <c r="E1" s="214"/>
      <c r="F1" s="214"/>
    </row>
    <row r="2" spans="1:7" s="1" customFormat="1" ht="15" customHeight="1" x14ac:dyDescent="0.2">
      <c r="A2" s="50"/>
      <c r="B2" s="50"/>
      <c r="C2" s="110"/>
      <c r="D2" s="111"/>
      <c r="E2" s="50"/>
      <c r="F2" s="50"/>
    </row>
    <row r="3" spans="1:7" ht="38.25" customHeight="1" x14ac:dyDescent="0.2">
      <c r="A3" s="112" t="s">
        <v>483</v>
      </c>
      <c r="B3" s="213" t="s">
        <v>278</v>
      </c>
      <c r="C3" s="213"/>
      <c r="D3" s="213"/>
      <c r="E3" s="213"/>
      <c r="F3" s="213"/>
      <c r="G3" s="47"/>
    </row>
    <row r="4" spans="1:7" ht="12" customHeight="1" x14ac:dyDescent="0.25">
      <c r="A4" s="226"/>
      <c r="B4" s="226"/>
      <c r="C4" s="226"/>
      <c r="D4" s="226"/>
      <c r="E4" s="226"/>
      <c r="F4" s="226"/>
    </row>
    <row r="5" spans="1:7" s="1" customFormat="1" ht="16.5" customHeight="1" x14ac:dyDescent="0.2">
      <c r="A5" s="52" t="s">
        <v>27</v>
      </c>
      <c r="B5" s="53" t="s">
        <v>28</v>
      </c>
      <c r="C5" s="53" t="s">
        <v>29</v>
      </c>
      <c r="D5" s="53" t="s">
        <v>30</v>
      </c>
      <c r="E5" s="53" t="s">
        <v>82</v>
      </c>
      <c r="F5" s="53" t="s">
        <v>83</v>
      </c>
    </row>
    <row r="6" spans="1:7" ht="21" customHeight="1" x14ac:dyDescent="0.25">
      <c r="A6" s="94" t="s">
        <v>169</v>
      </c>
      <c r="B6" s="136" t="s">
        <v>172</v>
      </c>
      <c r="C6" s="91" t="s">
        <v>21</v>
      </c>
      <c r="D6" s="117">
        <v>6</v>
      </c>
      <c r="E6" s="103">
        <f>ROUND(19.05*1.2619,2)</f>
        <v>24.04</v>
      </c>
      <c r="F6" s="103">
        <f>ROUND(D6*E6,2)</f>
        <v>144.24</v>
      </c>
      <c r="G6" s="45"/>
    </row>
    <row r="7" spans="1:7" ht="30" x14ac:dyDescent="0.2">
      <c r="A7" s="134" t="s">
        <v>170</v>
      </c>
      <c r="B7" s="136" t="s">
        <v>173</v>
      </c>
      <c r="C7" s="89" t="s">
        <v>21</v>
      </c>
      <c r="D7" s="135">
        <v>36</v>
      </c>
      <c r="E7" s="103">
        <f>ROUND(9.26*1.2619,2)</f>
        <v>11.69</v>
      </c>
      <c r="F7" s="103">
        <f t="shared" ref="F7:F26" si="0">ROUND(D7*E7,2)</f>
        <v>420.84</v>
      </c>
      <c r="G7" s="45"/>
    </row>
    <row r="8" spans="1:7" ht="30" x14ac:dyDescent="0.2">
      <c r="A8" s="134" t="s">
        <v>171</v>
      </c>
      <c r="B8" s="136" t="s">
        <v>174</v>
      </c>
      <c r="C8" s="89" t="s">
        <v>21</v>
      </c>
      <c r="D8" s="135">
        <v>9</v>
      </c>
      <c r="E8" s="103">
        <f>ROUND(17.9*1.2619,2)</f>
        <v>22.59</v>
      </c>
      <c r="F8" s="103">
        <f t="shared" si="0"/>
        <v>203.31</v>
      </c>
      <c r="G8" s="45"/>
    </row>
    <row r="9" spans="1:7" ht="30" x14ac:dyDescent="0.2">
      <c r="A9" s="5" t="s">
        <v>168</v>
      </c>
      <c r="B9" s="136" t="s">
        <v>167</v>
      </c>
      <c r="C9" s="103" t="s">
        <v>22</v>
      </c>
      <c r="D9" s="105">
        <v>1</v>
      </c>
      <c r="E9" s="103">
        <f>ROUND(18.5*1.2619,2)</f>
        <v>23.35</v>
      </c>
      <c r="F9" s="103">
        <f t="shared" si="0"/>
        <v>23.35</v>
      </c>
    </row>
    <row r="10" spans="1:7" ht="34.5" customHeight="1" x14ac:dyDescent="0.2">
      <c r="A10" s="5" t="s">
        <v>175</v>
      </c>
      <c r="B10" s="136" t="s">
        <v>176</v>
      </c>
      <c r="C10" s="103" t="s">
        <v>22</v>
      </c>
      <c r="D10" s="105">
        <v>3</v>
      </c>
      <c r="E10" s="103">
        <f>ROUND(12.48*1.2619,2)</f>
        <v>15.75</v>
      </c>
      <c r="F10" s="103">
        <f t="shared" si="0"/>
        <v>47.25</v>
      </c>
      <c r="G10" s="45"/>
    </row>
    <row r="11" spans="1:7" ht="30" x14ac:dyDescent="0.2">
      <c r="A11" s="5" t="s">
        <v>177</v>
      </c>
      <c r="B11" s="136" t="s">
        <v>188</v>
      </c>
      <c r="C11" s="103" t="s">
        <v>22</v>
      </c>
      <c r="D11" s="105">
        <v>4</v>
      </c>
      <c r="E11" s="103">
        <f>ROUND(1.65*1.2619,2)</f>
        <v>2.08</v>
      </c>
      <c r="F11" s="103">
        <f t="shared" si="0"/>
        <v>8.32</v>
      </c>
      <c r="G11" s="45"/>
    </row>
    <row r="12" spans="1:7" ht="30" x14ac:dyDescent="0.2">
      <c r="A12" s="5" t="s">
        <v>178</v>
      </c>
      <c r="B12" s="136" t="s">
        <v>189</v>
      </c>
      <c r="C12" s="103" t="s">
        <v>22</v>
      </c>
      <c r="D12" s="105">
        <v>8</v>
      </c>
      <c r="E12" s="103">
        <f>ROUND(3.69*1.2619,2)</f>
        <v>4.66</v>
      </c>
      <c r="F12" s="103">
        <f t="shared" si="0"/>
        <v>37.28</v>
      </c>
      <c r="G12" s="45"/>
    </row>
    <row r="13" spans="1:7" ht="30" x14ac:dyDescent="0.2">
      <c r="A13" s="5" t="s">
        <v>179</v>
      </c>
      <c r="B13" s="136" t="s">
        <v>190</v>
      </c>
      <c r="C13" s="103" t="s">
        <v>22</v>
      </c>
      <c r="D13" s="105">
        <v>2</v>
      </c>
      <c r="E13" s="103">
        <f>ROUND(10.51*1.2619,2)</f>
        <v>13.26</v>
      </c>
      <c r="F13" s="103">
        <f t="shared" si="0"/>
        <v>26.52</v>
      </c>
      <c r="G13" s="45"/>
    </row>
    <row r="14" spans="1:7" ht="17.25" customHeight="1" x14ac:dyDescent="0.2">
      <c r="A14" s="5" t="s">
        <v>180</v>
      </c>
      <c r="B14" s="136" t="s">
        <v>191</v>
      </c>
      <c r="C14" s="103" t="s">
        <v>22</v>
      </c>
      <c r="D14" s="105">
        <v>5</v>
      </c>
      <c r="E14" s="103">
        <f>ROUND(20.67*1.2619,2)</f>
        <v>26.08</v>
      </c>
      <c r="F14" s="103">
        <f t="shared" si="0"/>
        <v>130.4</v>
      </c>
      <c r="G14" s="45"/>
    </row>
    <row r="15" spans="1:7" ht="30" x14ac:dyDescent="0.2">
      <c r="A15" s="5" t="s">
        <v>181</v>
      </c>
      <c r="B15" s="136" t="s">
        <v>192</v>
      </c>
      <c r="C15" s="103" t="s">
        <v>22</v>
      </c>
      <c r="D15" s="105">
        <v>3</v>
      </c>
      <c r="E15" s="103">
        <f>ROUND(2.57*1.2619,2)</f>
        <v>3.24</v>
      </c>
      <c r="F15" s="103">
        <f t="shared" si="0"/>
        <v>9.7200000000000006</v>
      </c>
      <c r="G15" s="45"/>
    </row>
    <row r="16" spans="1:7" ht="45" x14ac:dyDescent="0.2">
      <c r="A16" s="5" t="s">
        <v>182</v>
      </c>
      <c r="B16" s="136" t="s">
        <v>193</v>
      </c>
      <c r="C16" s="103" t="s">
        <v>22</v>
      </c>
      <c r="D16" s="105">
        <v>1</v>
      </c>
      <c r="E16" s="103">
        <f>ROUND(7.04*1.2619,2)</f>
        <v>8.8800000000000008</v>
      </c>
      <c r="F16" s="103">
        <f t="shared" si="0"/>
        <v>8.8800000000000008</v>
      </c>
      <c r="G16" s="45"/>
    </row>
    <row r="17" spans="1:16" ht="30" x14ac:dyDescent="0.2">
      <c r="A17" s="5" t="s">
        <v>183</v>
      </c>
      <c r="B17" s="136" t="s">
        <v>194</v>
      </c>
      <c r="C17" s="103" t="s">
        <v>22</v>
      </c>
      <c r="D17" s="105">
        <v>4</v>
      </c>
      <c r="E17" s="103">
        <f>ROUND(8.07*1.2619,2)</f>
        <v>10.18</v>
      </c>
      <c r="F17" s="103">
        <f t="shared" si="0"/>
        <v>40.72</v>
      </c>
      <c r="G17" s="45"/>
    </row>
    <row r="18" spans="1:16" ht="30" x14ac:dyDescent="0.2">
      <c r="A18" s="5" t="s">
        <v>184</v>
      </c>
      <c r="B18" s="136" t="s">
        <v>195</v>
      </c>
      <c r="C18" s="103" t="s">
        <v>22</v>
      </c>
      <c r="D18" s="105">
        <v>3</v>
      </c>
      <c r="E18" s="103">
        <f>ROUND(3.62*1.2619,2)</f>
        <v>4.57</v>
      </c>
      <c r="F18" s="103">
        <f t="shared" si="0"/>
        <v>13.71</v>
      </c>
      <c r="G18" s="45"/>
      <c r="H18" s="45"/>
    </row>
    <row r="19" spans="1:16" ht="30" x14ac:dyDescent="0.2">
      <c r="A19" s="5" t="s">
        <v>164</v>
      </c>
      <c r="B19" s="136" t="s">
        <v>165</v>
      </c>
      <c r="C19" s="103" t="s">
        <v>22</v>
      </c>
      <c r="D19" s="105">
        <v>2</v>
      </c>
      <c r="E19" s="103">
        <f>ROUND(17.33*1.2619,2)</f>
        <v>21.87</v>
      </c>
      <c r="F19" s="103">
        <f t="shared" si="0"/>
        <v>43.74</v>
      </c>
      <c r="G19" s="45"/>
    </row>
    <row r="20" spans="1:16" ht="30" x14ac:dyDescent="0.2">
      <c r="A20" s="5" t="s">
        <v>185</v>
      </c>
      <c r="B20" s="136" t="s">
        <v>196</v>
      </c>
      <c r="C20" s="103" t="s">
        <v>22</v>
      </c>
      <c r="D20" s="105">
        <v>4</v>
      </c>
      <c r="E20" s="103">
        <f>ROUND(13.75*1.2619,2)</f>
        <v>17.350000000000001</v>
      </c>
      <c r="F20" s="103">
        <f t="shared" si="0"/>
        <v>69.400000000000006</v>
      </c>
      <c r="G20" s="45"/>
    </row>
    <row r="21" spans="1:16" ht="30" x14ac:dyDescent="0.2">
      <c r="A21" s="5" t="s">
        <v>186</v>
      </c>
      <c r="B21" s="136" t="s">
        <v>197</v>
      </c>
      <c r="C21" s="103" t="s">
        <v>22</v>
      </c>
      <c r="D21" s="105">
        <v>4</v>
      </c>
      <c r="E21" s="103">
        <f>ROUND(45.99*1.2619,2)</f>
        <v>58.03</v>
      </c>
      <c r="F21" s="103">
        <f t="shared" si="0"/>
        <v>232.12</v>
      </c>
      <c r="G21" s="45"/>
    </row>
    <row r="22" spans="1:16" ht="45" x14ac:dyDescent="0.2">
      <c r="A22" s="5" t="s">
        <v>187</v>
      </c>
      <c r="B22" s="136" t="s">
        <v>198</v>
      </c>
      <c r="C22" s="103" t="s">
        <v>22</v>
      </c>
      <c r="D22" s="105">
        <v>1</v>
      </c>
      <c r="E22" s="103">
        <f>ROUND(107.32*1.2619,2)</f>
        <v>135.43</v>
      </c>
      <c r="F22" s="103">
        <f t="shared" si="0"/>
        <v>135.43</v>
      </c>
      <c r="G22" s="45"/>
      <c r="H22" s="45"/>
      <c r="P22" s="45"/>
    </row>
    <row r="23" spans="1:16" ht="60" x14ac:dyDescent="0.2">
      <c r="A23" s="5" t="s">
        <v>202</v>
      </c>
      <c r="B23" s="136" t="s">
        <v>203</v>
      </c>
      <c r="C23" s="103" t="s">
        <v>18</v>
      </c>
      <c r="D23" s="105">
        <v>2</v>
      </c>
      <c r="E23" s="103">
        <f>ROUND(928.74*1.2619,2)</f>
        <v>1171.98</v>
      </c>
      <c r="F23" s="103">
        <f t="shared" si="0"/>
        <v>2343.96</v>
      </c>
    </row>
    <row r="24" spans="1:16" ht="15" x14ac:dyDescent="0.2">
      <c r="A24" s="5" t="s">
        <v>199</v>
      </c>
      <c r="B24" s="136" t="s">
        <v>200</v>
      </c>
      <c r="C24" s="103" t="s">
        <v>201</v>
      </c>
      <c r="D24" s="105">
        <v>2</v>
      </c>
      <c r="E24" s="103">
        <f>ROUND(621.2*1.2619,2)</f>
        <v>783.89</v>
      </c>
      <c r="F24" s="103">
        <f t="shared" si="0"/>
        <v>1567.78</v>
      </c>
    </row>
    <row r="25" spans="1:16" ht="30" x14ac:dyDescent="0.2">
      <c r="A25" s="5" t="s">
        <v>145</v>
      </c>
      <c r="B25" s="124" t="s">
        <v>148</v>
      </c>
      <c r="C25" s="103" t="s">
        <v>20</v>
      </c>
      <c r="D25" s="105">
        <v>9</v>
      </c>
      <c r="E25" s="103">
        <f>ROUND(10.23*1.2619,2)</f>
        <v>12.91</v>
      </c>
      <c r="F25" s="103">
        <f t="shared" si="0"/>
        <v>116.19</v>
      </c>
    </row>
    <row r="26" spans="1:16" ht="15" x14ac:dyDescent="0.2">
      <c r="A26" s="5" t="s">
        <v>146</v>
      </c>
      <c r="B26" s="124" t="s">
        <v>149</v>
      </c>
      <c r="C26" s="103" t="s">
        <v>20</v>
      </c>
      <c r="D26" s="105">
        <v>9</v>
      </c>
      <c r="E26" s="85">
        <f>ROUND((5.34/1.309)*1.2619,2)</f>
        <v>5.15</v>
      </c>
      <c r="F26" s="103">
        <f t="shared" si="0"/>
        <v>46.35</v>
      </c>
    </row>
    <row r="27" spans="1:16" ht="15" x14ac:dyDescent="0.25">
      <c r="A27" s="98"/>
      <c r="B27" s="88"/>
      <c r="C27" s="2"/>
      <c r="D27" s="98"/>
      <c r="E27" s="137"/>
      <c r="F27" s="2"/>
    </row>
    <row r="28" spans="1:16" ht="15" x14ac:dyDescent="0.25">
      <c r="A28" s="98"/>
      <c r="B28" s="88"/>
      <c r="C28" s="2"/>
      <c r="D28" s="98"/>
      <c r="E28" s="57" t="s">
        <v>83</v>
      </c>
      <c r="F28" s="100">
        <f>SUM(F6:F26)</f>
        <v>5669.51</v>
      </c>
    </row>
    <row r="29" spans="1:16" ht="16.5" x14ac:dyDescent="0.25">
      <c r="A29" s="17"/>
      <c r="B29" s="9"/>
      <c r="C29" s="8"/>
      <c r="D29" s="17"/>
      <c r="E29" s="20"/>
    </row>
    <row r="30" spans="1:16" ht="16.5" x14ac:dyDescent="0.25">
      <c r="A30" s="17"/>
      <c r="B30" s="9"/>
      <c r="C30" s="8"/>
      <c r="D30" s="17"/>
      <c r="E30" s="20"/>
    </row>
    <row r="31" spans="1:16" ht="16.5" x14ac:dyDescent="0.25">
      <c r="A31" s="17"/>
      <c r="B31" s="9"/>
      <c r="C31" s="8"/>
      <c r="D31" s="17"/>
      <c r="E31" s="20"/>
    </row>
    <row r="32" spans="1:16" ht="16.5" x14ac:dyDescent="0.25">
      <c r="A32" s="17"/>
      <c r="B32" s="9"/>
      <c r="C32" s="8"/>
      <c r="D32" s="17"/>
      <c r="E32" s="20"/>
    </row>
    <row r="33" spans="1:5" ht="16.5" x14ac:dyDescent="0.25">
      <c r="A33" s="17"/>
      <c r="B33" s="9"/>
      <c r="C33" s="8"/>
      <c r="D33" s="17"/>
      <c r="E33" s="20"/>
    </row>
    <row r="34" spans="1:5" ht="16.5" x14ac:dyDescent="0.25">
      <c r="A34" s="17"/>
      <c r="B34" s="9"/>
      <c r="C34" s="8"/>
      <c r="D34" s="17"/>
      <c r="E34" s="20"/>
    </row>
    <row r="35" spans="1:5" ht="16.5" x14ac:dyDescent="0.25">
      <c r="A35" s="17"/>
      <c r="B35" s="9"/>
      <c r="C35" s="8"/>
      <c r="D35" s="17"/>
      <c r="E35" s="20"/>
    </row>
    <row r="36" spans="1:5" ht="16.5" x14ac:dyDescent="0.25">
      <c r="A36" s="17"/>
      <c r="B36" s="9"/>
      <c r="C36" s="8"/>
      <c r="D36" s="17"/>
      <c r="E36" s="20"/>
    </row>
    <row r="37" spans="1:5" ht="16.5" x14ac:dyDescent="0.25">
      <c r="A37" s="17"/>
      <c r="B37" s="9"/>
      <c r="C37" s="8"/>
      <c r="D37" s="17"/>
      <c r="E37" s="20"/>
    </row>
    <row r="38" spans="1:5" ht="16.5" x14ac:dyDescent="0.25">
      <c r="A38" s="17"/>
      <c r="B38" s="9"/>
      <c r="C38" s="8"/>
      <c r="D38" s="17"/>
      <c r="E38" s="20"/>
    </row>
    <row r="39" spans="1:5" ht="16.5" x14ac:dyDescent="0.25">
      <c r="A39" s="17"/>
      <c r="B39" s="9"/>
      <c r="C39" s="8"/>
      <c r="D39" s="17"/>
      <c r="E39" s="20"/>
    </row>
    <row r="40" spans="1:5" ht="16.5" x14ac:dyDescent="0.25">
      <c r="A40" s="17"/>
      <c r="B40" s="9"/>
      <c r="C40" s="8"/>
      <c r="D40" s="17"/>
      <c r="E40" s="20"/>
    </row>
    <row r="41" spans="1:5" ht="16.5" x14ac:dyDescent="0.25">
      <c r="A41" s="12"/>
      <c r="B41" s="14"/>
      <c r="C41" s="13"/>
      <c r="D41" s="17"/>
      <c r="E41" s="20"/>
    </row>
    <row r="42" spans="1:5" ht="16.5" x14ac:dyDescent="0.25">
      <c r="A42" s="17"/>
      <c r="B42" s="9"/>
      <c r="C42" s="8"/>
      <c r="D42" s="17"/>
      <c r="E42" s="20"/>
    </row>
    <row r="43" spans="1:5" ht="16.5" x14ac:dyDescent="0.2">
      <c r="A43" s="33"/>
      <c r="B43" s="32"/>
      <c r="C43" s="30"/>
      <c r="D43" s="33"/>
      <c r="E43" s="39"/>
    </row>
  </sheetData>
  <mergeCells count="3">
    <mergeCell ref="A1:F1"/>
    <mergeCell ref="B3:F3"/>
    <mergeCell ref="A4:F4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75" orientation="portrait" horizontalDpi="300" verticalDpi="300" r:id="rId1"/>
  <headerFooter alignWithMargins="0">
    <oddHeader>&amp;L&amp;"Arial,Itálico"&amp;11HISTÓRICOS ORÇAMENTÁRIOS</oddHeader>
    <oddFooter>&amp;RPágina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H33"/>
  <sheetViews>
    <sheetView showGridLines="0" zoomScale="80" workbookViewId="0">
      <selection sqref="A1:F19"/>
    </sheetView>
  </sheetViews>
  <sheetFormatPr defaultRowHeight="12.75" x14ac:dyDescent="0.2"/>
  <cols>
    <col min="1" max="1" width="13.28515625" style="44" customWidth="1"/>
    <col min="2" max="2" width="52.28515625" style="44" customWidth="1"/>
    <col min="3" max="3" width="13" style="44" customWidth="1"/>
    <col min="4" max="4" width="8.85546875" style="44" customWidth="1"/>
    <col min="5" max="5" width="10.85546875" style="44" customWidth="1"/>
    <col min="6" max="6" width="12.28515625" style="44" customWidth="1"/>
    <col min="7" max="7" width="9.140625" style="44"/>
    <col min="8" max="8" width="111.85546875" style="44" customWidth="1"/>
    <col min="9" max="16384" width="9.140625" style="44"/>
  </cols>
  <sheetData>
    <row r="1" spans="1:8" ht="29.25" customHeight="1" x14ac:dyDescent="0.2">
      <c r="A1" s="227" t="s">
        <v>16</v>
      </c>
      <c r="B1" s="227"/>
      <c r="C1" s="227"/>
      <c r="D1" s="227"/>
      <c r="E1" s="227"/>
    </row>
    <row r="2" spans="1:8" s="101" customFormat="1" ht="50.25" customHeight="1" x14ac:dyDescent="0.2">
      <c r="A2" s="52" t="s">
        <v>509</v>
      </c>
      <c r="B2" s="213" t="s">
        <v>261</v>
      </c>
      <c r="C2" s="213"/>
      <c r="D2" s="213"/>
      <c r="E2" s="213"/>
      <c r="F2" s="213"/>
    </row>
    <row r="3" spans="1:8" s="101" customFormat="1" ht="18.75" customHeight="1" x14ac:dyDescent="0.2">
      <c r="A3" s="95"/>
      <c r="B3" s="102"/>
      <c r="C3" s="95"/>
      <c r="E3" s="95"/>
    </row>
    <row r="4" spans="1:8" s="101" customFormat="1" ht="15.75" customHeight="1" x14ac:dyDescent="0.2">
      <c r="A4" s="52" t="s">
        <v>27</v>
      </c>
      <c r="B4" s="53" t="s">
        <v>28</v>
      </c>
      <c r="C4" s="53" t="s">
        <v>29</v>
      </c>
      <c r="D4" s="53" t="s">
        <v>30</v>
      </c>
      <c r="E4" s="53" t="s">
        <v>82</v>
      </c>
      <c r="F4" s="53" t="s">
        <v>83</v>
      </c>
    </row>
    <row r="5" spans="1:8" s="101" customFormat="1" ht="30" x14ac:dyDescent="0.2">
      <c r="A5" s="103" t="s">
        <v>152</v>
      </c>
      <c r="B5" s="104" t="s">
        <v>260</v>
      </c>
      <c r="C5" s="103" t="s">
        <v>22</v>
      </c>
      <c r="D5" s="105">
        <v>1</v>
      </c>
      <c r="E5" s="80">
        <v>5999</v>
      </c>
      <c r="F5" s="80">
        <f>D5*E5</f>
        <v>5999</v>
      </c>
      <c r="H5" s="101" t="s">
        <v>151</v>
      </c>
    </row>
    <row r="6" spans="1:8" s="101" customFormat="1" ht="36.75" customHeight="1" x14ac:dyDescent="0.2">
      <c r="A6" s="5" t="s">
        <v>153</v>
      </c>
      <c r="B6" s="104" t="s">
        <v>161</v>
      </c>
      <c r="C6" s="103" t="s">
        <v>21</v>
      </c>
      <c r="D6" s="105">
        <v>5</v>
      </c>
      <c r="E6" s="80">
        <f>ROUND(11.56*1.2619,2)</f>
        <v>14.59</v>
      </c>
      <c r="F6" s="106">
        <f t="shared" ref="F6:F17" si="0">D6*E6</f>
        <v>72.95</v>
      </c>
    </row>
    <row r="7" spans="1:8" s="101" customFormat="1" ht="30" customHeight="1" x14ac:dyDescent="0.2">
      <c r="A7" s="5" t="s">
        <v>154</v>
      </c>
      <c r="B7" s="104" t="s">
        <v>160</v>
      </c>
      <c r="C7" s="103" t="s">
        <v>21</v>
      </c>
      <c r="D7" s="105">
        <v>1</v>
      </c>
      <c r="E7" s="80">
        <f>ROUND(33.89*1.2619,2)</f>
        <v>42.77</v>
      </c>
      <c r="F7" s="106">
        <f t="shared" si="0"/>
        <v>42.77</v>
      </c>
    </row>
    <row r="8" spans="1:8" s="101" customFormat="1" ht="30" x14ac:dyDescent="0.2">
      <c r="A8" s="5" t="s">
        <v>155</v>
      </c>
      <c r="B8" s="104" t="s">
        <v>108</v>
      </c>
      <c r="C8" s="103" t="s">
        <v>21</v>
      </c>
      <c r="D8" s="105">
        <v>4</v>
      </c>
      <c r="E8" s="80">
        <f>ROUND(53.38*1.2619,2)</f>
        <v>67.36</v>
      </c>
      <c r="F8" s="106">
        <f t="shared" si="0"/>
        <v>269.44</v>
      </c>
    </row>
    <row r="9" spans="1:8" s="101" customFormat="1" ht="34.5" customHeight="1" x14ac:dyDescent="0.2">
      <c r="A9" s="5" t="s">
        <v>156</v>
      </c>
      <c r="B9" s="107" t="s">
        <v>162</v>
      </c>
      <c r="C9" s="103" t="s">
        <v>22</v>
      </c>
      <c r="D9" s="108">
        <v>1</v>
      </c>
      <c r="E9" s="80">
        <f>ROUND(11.04*1.2619,2)</f>
        <v>13.93</v>
      </c>
      <c r="F9" s="106">
        <f t="shared" si="0"/>
        <v>13.93</v>
      </c>
    </row>
    <row r="10" spans="1:8" s="101" customFormat="1" ht="30" x14ac:dyDescent="0.2">
      <c r="A10" s="5" t="s">
        <v>157</v>
      </c>
      <c r="B10" s="104" t="s">
        <v>163</v>
      </c>
      <c r="C10" s="103" t="s">
        <v>22</v>
      </c>
      <c r="D10" s="105">
        <v>2</v>
      </c>
      <c r="E10" s="80">
        <f>ROUND(32.69*1.2619,2)</f>
        <v>41.25</v>
      </c>
      <c r="F10" s="106">
        <f t="shared" si="0"/>
        <v>82.5</v>
      </c>
    </row>
    <row r="11" spans="1:8" s="101" customFormat="1" ht="30" x14ac:dyDescent="0.2">
      <c r="A11" s="5" t="s">
        <v>158</v>
      </c>
      <c r="B11" s="104" t="s">
        <v>120</v>
      </c>
      <c r="C11" s="103" t="s">
        <v>22</v>
      </c>
      <c r="D11" s="105">
        <v>2</v>
      </c>
      <c r="E11" s="80">
        <f>ROUND(33.6*1.2619,2)</f>
        <v>42.4</v>
      </c>
      <c r="F11" s="106">
        <f t="shared" si="0"/>
        <v>84.8</v>
      </c>
    </row>
    <row r="12" spans="1:8" s="101" customFormat="1" ht="45" x14ac:dyDescent="0.2">
      <c r="A12" s="5" t="s">
        <v>159</v>
      </c>
      <c r="B12" s="104" t="s">
        <v>166</v>
      </c>
      <c r="C12" s="103" t="s">
        <v>22</v>
      </c>
      <c r="D12" s="105">
        <v>2</v>
      </c>
      <c r="E12" s="80">
        <f>ROUND(25.79*1.2619,2)</f>
        <v>32.54</v>
      </c>
      <c r="F12" s="106">
        <f t="shared" si="0"/>
        <v>65.08</v>
      </c>
    </row>
    <row r="13" spans="1:8" s="101" customFormat="1" ht="30" x14ac:dyDescent="0.2">
      <c r="A13" s="5" t="s">
        <v>164</v>
      </c>
      <c r="B13" s="109" t="s">
        <v>165</v>
      </c>
      <c r="C13" s="103" t="s">
        <v>22</v>
      </c>
      <c r="D13" s="108">
        <v>2</v>
      </c>
      <c r="E13" s="80">
        <f>ROUND(17.33*1.2619,2)</f>
        <v>21.87</v>
      </c>
      <c r="F13" s="106">
        <f t="shared" si="0"/>
        <v>43.74</v>
      </c>
    </row>
    <row r="14" spans="1:8" s="101" customFormat="1" ht="30" x14ac:dyDescent="0.2">
      <c r="A14" s="5" t="s">
        <v>118</v>
      </c>
      <c r="B14" s="25" t="s">
        <v>122</v>
      </c>
      <c r="C14" s="3" t="s">
        <v>22</v>
      </c>
      <c r="D14" s="4">
        <v>1</v>
      </c>
      <c r="E14" s="80">
        <f>ROUND(144*1.2619,2)</f>
        <v>181.71</v>
      </c>
      <c r="F14" s="106">
        <f t="shared" si="0"/>
        <v>181.71</v>
      </c>
    </row>
    <row r="15" spans="1:8" s="101" customFormat="1" ht="30" x14ac:dyDescent="0.2">
      <c r="A15" s="5" t="s">
        <v>123</v>
      </c>
      <c r="B15" s="25" t="s">
        <v>125</v>
      </c>
      <c r="C15" s="3" t="s">
        <v>22</v>
      </c>
      <c r="D15" s="4">
        <v>2</v>
      </c>
      <c r="E15" s="80">
        <f>ROUND(80.88*1.2619,2)</f>
        <v>102.06</v>
      </c>
      <c r="F15" s="106">
        <f t="shared" si="0"/>
        <v>204.12</v>
      </c>
    </row>
    <row r="16" spans="1:8" s="101" customFormat="1" ht="30" x14ac:dyDescent="0.2">
      <c r="A16" s="54" t="s">
        <v>145</v>
      </c>
      <c r="B16" s="51" t="s">
        <v>148</v>
      </c>
      <c r="C16" s="3" t="s">
        <v>20</v>
      </c>
      <c r="D16" s="105">
        <v>4</v>
      </c>
      <c r="E16" s="80">
        <f>ROUND(10.23*1.2619,2)</f>
        <v>12.91</v>
      </c>
      <c r="F16" s="106">
        <f t="shared" si="0"/>
        <v>51.64</v>
      </c>
    </row>
    <row r="17" spans="1:7" s="101" customFormat="1" ht="15" x14ac:dyDescent="0.2">
      <c r="A17" s="54" t="s">
        <v>146</v>
      </c>
      <c r="B17" s="50" t="s">
        <v>149</v>
      </c>
      <c r="C17" s="3" t="s">
        <v>20</v>
      </c>
      <c r="D17" s="105">
        <v>1</v>
      </c>
      <c r="E17" s="80">
        <v>5.34</v>
      </c>
      <c r="F17" s="106">
        <f t="shared" si="0"/>
        <v>5.34</v>
      </c>
    </row>
    <row r="18" spans="1:7" s="101" customFormat="1" ht="33" customHeight="1" x14ac:dyDescent="0.2">
      <c r="A18" s="54" t="s">
        <v>147</v>
      </c>
      <c r="B18" s="51" t="s">
        <v>150</v>
      </c>
      <c r="C18" s="103" t="s">
        <v>20</v>
      </c>
      <c r="D18" s="105">
        <v>4</v>
      </c>
      <c r="E18" s="80">
        <f>ROUND((10.71/1.309)*1.2619,2)</f>
        <v>10.32</v>
      </c>
      <c r="F18" s="106">
        <f>D18*E18</f>
        <v>41.28</v>
      </c>
    </row>
    <row r="19" spans="1:7" s="101" customFormat="1" ht="24.75" customHeight="1" x14ac:dyDescent="0.2">
      <c r="E19" s="57" t="s">
        <v>83</v>
      </c>
      <c r="F19" s="57">
        <f>SUM(F5:F18)</f>
        <v>7158.3</v>
      </c>
    </row>
    <row r="20" spans="1:7" ht="24.75" customHeight="1" x14ac:dyDescent="0.2">
      <c r="G20" s="46"/>
    </row>
    <row r="21" spans="1:7" ht="24.75" customHeight="1" x14ac:dyDescent="0.2"/>
    <row r="22" spans="1:7" ht="24.75" customHeight="1" x14ac:dyDescent="0.2"/>
    <row r="23" spans="1:7" ht="24.75" customHeight="1" x14ac:dyDescent="0.2"/>
    <row r="24" spans="1:7" ht="24.75" customHeight="1" x14ac:dyDescent="0.2"/>
    <row r="25" spans="1:7" ht="24.75" customHeight="1" x14ac:dyDescent="0.2"/>
    <row r="26" spans="1:7" ht="24.75" customHeight="1" x14ac:dyDescent="0.2"/>
    <row r="27" spans="1:7" ht="24.75" customHeight="1" x14ac:dyDescent="0.2"/>
    <row r="28" spans="1:7" ht="24.75" customHeight="1" x14ac:dyDescent="0.2"/>
    <row r="29" spans="1:7" ht="24.75" customHeight="1" x14ac:dyDescent="0.2"/>
    <row r="30" spans="1:7" ht="24.75" customHeight="1" x14ac:dyDescent="0.2"/>
    <row r="31" spans="1:7" ht="24.75" customHeight="1" x14ac:dyDescent="0.2"/>
    <row r="32" spans="1:7" ht="24.75" customHeight="1" x14ac:dyDescent="0.2"/>
    <row r="33" ht="24.75" customHeight="1" x14ac:dyDescent="0.2"/>
  </sheetData>
  <mergeCells count="2">
    <mergeCell ref="A1:E1"/>
    <mergeCell ref="B2:F2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80" orientation="portrait" r:id="rId1"/>
  <headerFooter alignWithMargins="0">
    <oddHeader>&amp;L&amp;"Arial,Itálico"&amp;11HISTÓRICOS ORÇAMENTÁRIOS</oddHeader>
    <oddFooter>&amp;RPágina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80" zoomScaleNormal="80" workbookViewId="0">
      <selection activeCell="E16" sqref="E16"/>
    </sheetView>
  </sheetViews>
  <sheetFormatPr defaultRowHeight="12.75" x14ac:dyDescent="0.2"/>
  <cols>
    <col min="1" max="1" width="11.7109375" customWidth="1"/>
    <col min="2" max="2" width="48.42578125" customWidth="1"/>
    <col min="6" max="6" width="11.28515625" customWidth="1"/>
  </cols>
  <sheetData>
    <row r="1" spans="1:17" ht="38.25" customHeight="1" x14ac:dyDescent="0.2">
      <c r="A1" s="218" t="s">
        <v>487</v>
      </c>
      <c r="B1" s="218"/>
      <c r="C1" s="218"/>
      <c r="D1" s="218"/>
      <c r="E1" s="218"/>
      <c r="F1" s="218"/>
      <c r="L1" s="191"/>
      <c r="M1" s="174"/>
      <c r="N1" s="192"/>
      <c r="O1" s="193"/>
    </row>
    <row r="2" spans="1:17" ht="15" x14ac:dyDescent="0.2">
      <c r="A2" s="50"/>
      <c r="B2" s="50"/>
      <c r="C2" s="110"/>
      <c r="D2" s="111"/>
      <c r="E2" s="50"/>
      <c r="F2" s="50"/>
      <c r="L2" s="191"/>
      <c r="M2" s="174"/>
      <c r="N2" s="192"/>
      <c r="O2" s="193"/>
    </row>
    <row r="3" spans="1:17" ht="27" customHeight="1" x14ac:dyDescent="0.2">
      <c r="A3" s="112" t="s">
        <v>502</v>
      </c>
      <c r="B3" s="213" t="s">
        <v>487</v>
      </c>
      <c r="C3" s="213"/>
      <c r="D3" s="213"/>
      <c r="E3" s="213"/>
      <c r="F3" s="213"/>
      <c r="L3" s="197"/>
      <c r="M3" s="193"/>
      <c r="N3" s="192"/>
      <c r="O3" s="193"/>
    </row>
    <row r="4" spans="1:17" ht="15" x14ac:dyDescent="0.2">
      <c r="A4" s="228"/>
      <c r="B4" s="228"/>
      <c r="C4" s="228"/>
      <c r="D4" s="228"/>
      <c r="E4" s="228"/>
      <c r="F4" s="228"/>
      <c r="K4" s="144"/>
      <c r="L4" s="197"/>
      <c r="M4" s="193"/>
      <c r="N4" s="192"/>
      <c r="O4" s="193"/>
      <c r="P4" s="144"/>
      <c r="Q4" s="144"/>
    </row>
    <row r="5" spans="1:17" ht="14.25" x14ac:dyDescent="0.2">
      <c r="A5" s="52" t="s">
        <v>27</v>
      </c>
      <c r="B5" s="53" t="s">
        <v>28</v>
      </c>
      <c r="C5" s="53" t="s">
        <v>29</v>
      </c>
      <c r="D5" s="53" t="s">
        <v>30</v>
      </c>
      <c r="E5" s="53" t="s">
        <v>82</v>
      </c>
      <c r="F5" s="53" t="s">
        <v>83</v>
      </c>
      <c r="K5" s="144"/>
      <c r="L5" s="191"/>
      <c r="M5" s="193"/>
      <c r="N5" s="192"/>
      <c r="O5" s="193"/>
      <c r="P5" s="144"/>
      <c r="Q5" s="144"/>
    </row>
    <row r="6" spans="1:17" ht="45" x14ac:dyDescent="0.2">
      <c r="A6" s="94" t="s">
        <v>116</v>
      </c>
      <c r="B6" s="136" t="s">
        <v>120</v>
      </c>
      <c r="C6" s="91" t="s">
        <v>201</v>
      </c>
      <c r="D6" s="92">
        <v>3</v>
      </c>
      <c r="E6" s="80">
        <f>ROUND(33.6*1.2619,2)</f>
        <v>42.4</v>
      </c>
      <c r="F6" s="103">
        <f>ROUND(D6*E6,2)</f>
        <v>127.2</v>
      </c>
      <c r="G6" s="45"/>
      <c r="K6" s="144"/>
      <c r="L6" s="197"/>
      <c r="M6" s="193"/>
      <c r="N6" s="192"/>
      <c r="O6" s="193"/>
      <c r="P6" s="144"/>
      <c r="Q6" s="144"/>
    </row>
    <row r="7" spans="1:17" ht="30" x14ac:dyDescent="0.2">
      <c r="A7" s="134" t="s">
        <v>159</v>
      </c>
      <c r="B7" s="136" t="s">
        <v>488</v>
      </c>
      <c r="C7" s="91" t="s">
        <v>201</v>
      </c>
      <c r="D7" s="135">
        <v>3</v>
      </c>
      <c r="E7" s="80">
        <f>ROUND(25.79*1.2619,2)</f>
        <v>32.54</v>
      </c>
      <c r="F7" s="103">
        <f t="shared" ref="F7:F16" si="0">ROUND(D7*E7,2)</f>
        <v>97.62</v>
      </c>
      <c r="H7" s="45"/>
      <c r="K7" s="144"/>
      <c r="L7" s="202"/>
      <c r="M7" s="203"/>
      <c r="N7" s="204"/>
      <c r="O7" s="204"/>
      <c r="P7" s="144"/>
      <c r="Q7" s="144"/>
    </row>
    <row r="8" spans="1:17" ht="30" x14ac:dyDescent="0.2">
      <c r="A8" s="134" t="s">
        <v>489</v>
      </c>
      <c r="B8" s="136" t="s">
        <v>490</v>
      </c>
      <c r="C8" s="91" t="s">
        <v>201</v>
      </c>
      <c r="D8" s="135">
        <v>7</v>
      </c>
      <c r="E8" s="80">
        <f>ROUND(12.73*1.2619,2)</f>
        <v>16.059999999999999</v>
      </c>
      <c r="F8" s="103">
        <f t="shared" si="0"/>
        <v>112.42</v>
      </c>
      <c r="G8" s="45"/>
      <c r="K8" s="144"/>
      <c r="L8" s="210"/>
      <c r="M8" s="211"/>
      <c r="N8" s="211"/>
      <c r="O8" s="211"/>
      <c r="P8" s="144"/>
      <c r="Q8" s="144"/>
    </row>
    <row r="9" spans="1:17" ht="45" x14ac:dyDescent="0.2">
      <c r="A9" s="5" t="s">
        <v>115</v>
      </c>
      <c r="B9" s="136" t="s">
        <v>119</v>
      </c>
      <c r="C9" s="91" t="s">
        <v>201</v>
      </c>
      <c r="D9" s="105">
        <v>4</v>
      </c>
      <c r="E9" s="80">
        <f>ROUND(8.04*1.2619,2)</f>
        <v>10.15</v>
      </c>
      <c r="F9" s="103">
        <f t="shared" si="0"/>
        <v>40.6</v>
      </c>
      <c r="G9" s="45"/>
      <c r="K9" s="144"/>
      <c r="L9" s="200"/>
      <c r="M9" s="159"/>
      <c r="N9" s="161"/>
      <c r="O9" s="175"/>
      <c r="P9" s="144"/>
      <c r="Q9" s="144"/>
    </row>
    <row r="10" spans="1:17" ht="30" x14ac:dyDescent="0.2">
      <c r="A10" s="5" t="s">
        <v>491</v>
      </c>
      <c r="B10" s="136" t="s">
        <v>490</v>
      </c>
      <c r="C10" s="91" t="s">
        <v>201</v>
      </c>
      <c r="D10" s="105">
        <v>1</v>
      </c>
      <c r="E10" s="80">
        <f>ROUND(12.73*1.2619,2)</f>
        <v>16.059999999999999</v>
      </c>
      <c r="F10" s="103">
        <f t="shared" si="0"/>
        <v>16.059999999999999</v>
      </c>
      <c r="G10" s="45"/>
      <c r="K10" s="144"/>
      <c r="L10" s="200"/>
      <c r="M10" s="160"/>
      <c r="N10" s="174"/>
      <c r="O10" s="201"/>
      <c r="P10" s="144"/>
      <c r="Q10" s="144"/>
    </row>
    <row r="11" spans="1:17" ht="30" x14ac:dyDescent="0.2">
      <c r="A11" s="5" t="s">
        <v>123</v>
      </c>
      <c r="B11" s="136" t="s">
        <v>125</v>
      </c>
      <c r="C11" s="91" t="s">
        <v>201</v>
      </c>
      <c r="D11" s="105">
        <v>2</v>
      </c>
      <c r="E11" s="80">
        <f>ROUND(80.88*1.2619,2)</f>
        <v>102.06</v>
      </c>
      <c r="F11" s="103">
        <f t="shared" si="0"/>
        <v>204.12</v>
      </c>
      <c r="G11" s="45"/>
      <c r="K11" s="144"/>
      <c r="L11" s="210"/>
      <c r="M11" s="211"/>
      <c r="N11" s="211"/>
      <c r="O11" s="211"/>
      <c r="P11" s="144"/>
      <c r="Q11" s="144"/>
    </row>
    <row r="12" spans="1:17" ht="33.75" customHeight="1" x14ac:dyDescent="0.2">
      <c r="A12" s="5" t="s">
        <v>154</v>
      </c>
      <c r="B12" s="124" t="s">
        <v>495</v>
      </c>
      <c r="C12" s="103" t="s">
        <v>21</v>
      </c>
      <c r="D12" s="105">
        <v>1.5</v>
      </c>
      <c r="E12" s="80">
        <f>ROUND(33.89*1.2619,2)</f>
        <v>42.77</v>
      </c>
      <c r="F12" s="103">
        <f t="shared" si="0"/>
        <v>64.16</v>
      </c>
      <c r="G12" s="45"/>
      <c r="K12" s="144"/>
      <c r="L12" s="200"/>
      <c r="M12" s="159"/>
      <c r="N12" s="161"/>
      <c r="O12" s="175"/>
      <c r="P12" s="144"/>
      <c r="Q12" s="144"/>
    </row>
    <row r="13" spans="1:17" ht="22.5" customHeight="1" x14ac:dyDescent="0.2">
      <c r="A13" s="5" t="s">
        <v>152</v>
      </c>
      <c r="B13" s="124" t="s">
        <v>486</v>
      </c>
      <c r="C13" s="103" t="s">
        <v>21</v>
      </c>
      <c r="D13" s="105">
        <v>36</v>
      </c>
      <c r="E13" s="103">
        <v>5.66</v>
      </c>
      <c r="F13" s="103">
        <f t="shared" si="0"/>
        <v>203.76</v>
      </c>
      <c r="K13" s="144"/>
      <c r="L13" s="200"/>
      <c r="M13" s="159"/>
      <c r="N13" s="161"/>
      <c r="O13" s="175"/>
      <c r="P13" s="144"/>
      <c r="Q13" s="144"/>
    </row>
    <row r="14" spans="1:17" ht="30" x14ac:dyDescent="0.2">
      <c r="A14" s="5" t="s">
        <v>493</v>
      </c>
      <c r="B14" s="136" t="s">
        <v>494</v>
      </c>
      <c r="C14" s="103" t="s">
        <v>201</v>
      </c>
      <c r="D14" s="105">
        <v>2</v>
      </c>
      <c r="E14" s="80">
        <f>ROUND(0.52*1.2619,2)</f>
        <v>0.66</v>
      </c>
      <c r="F14" s="103">
        <f t="shared" si="0"/>
        <v>1.32</v>
      </c>
      <c r="H14" s="45"/>
      <c r="K14" s="144"/>
      <c r="L14" s="200"/>
      <c r="M14" s="160"/>
      <c r="N14" s="174"/>
      <c r="O14" s="201"/>
      <c r="P14" s="144"/>
      <c r="Q14" s="144"/>
    </row>
    <row r="15" spans="1:17" ht="30" x14ac:dyDescent="0.2">
      <c r="A15" s="5" t="s">
        <v>145</v>
      </c>
      <c r="B15" s="124" t="s">
        <v>148</v>
      </c>
      <c r="C15" s="103" t="s">
        <v>20</v>
      </c>
      <c r="D15" s="105">
        <v>20</v>
      </c>
      <c r="E15" s="103">
        <f>ROUND(10.23*1.2619,2)</f>
        <v>12.91</v>
      </c>
      <c r="F15" s="103">
        <f t="shared" si="0"/>
        <v>258.2</v>
      </c>
      <c r="K15" s="144"/>
      <c r="L15" s="144"/>
      <c r="M15" s="144"/>
      <c r="N15" s="144"/>
      <c r="O15" s="144"/>
      <c r="P15" s="144"/>
      <c r="Q15" s="144"/>
    </row>
    <row r="16" spans="1:17" ht="15" x14ac:dyDescent="0.2">
      <c r="A16" s="5" t="s">
        <v>146</v>
      </c>
      <c r="B16" s="124" t="s">
        <v>291</v>
      </c>
      <c r="C16" s="103" t="s">
        <v>20</v>
      </c>
      <c r="D16" s="105">
        <v>2</v>
      </c>
      <c r="E16" s="103">
        <f>ROUND(8.81*1.2619,2)</f>
        <v>11.12</v>
      </c>
      <c r="F16" s="103">
        <f t="shared" si="0"/>
        <v>22.24</v>
      </c>
    </row>
    <row r="17" spans="1:6" ht="15" x14ac:dyDescent="0.2">
      <c r="A17" s="3"/>
      <c r="B17" s="5"/>
      <c r="C17" s="50"/>
      <c r="D17" s="3"/>
      <c r="E17" s="212"/>
      <c r="F17" s="50"/>
    </row>
    <row r="18" spans="1:6" ht="15" x14ac:dyDescent="0.2">
      <c r="A18" s="3"/>
      <c r="B18" s="5"/>
      <c r="C18" s="50"/>
      <c r="D18" s="3"/>
      <c r="E18" s="57" t="s">
        <v>83</v>
      </c>
      <c r="F18" s="141">
        <f>SUM(F6:F16)</f>
        <v>1147.7</v>
      </c>
    </row>
  </sheetData>
  <mergeCells count="3">
    <mergeCell ref="A1:F1"/>
    <mergeCell ref="B3:F3"/>
    <mergeCell ref="A4:F4"/>
  </mergeCells>
  <pageMargins left="0.51181102362204722" right="0.51181102362204722" top="0.78740157480314965" bottom="0.78740157480314965" header="0.31496062992125984" footer="0.31496062992125984"/>
  <pageSetup paperSize="9" scale="95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="80" workbookViewId="0">
      <selection sqref="A1:F19"/>
    </sheetView>
  </sheetViews>
  <sheetFormatPr defaultRowHeight="12.75" x14ac:dyDescent="0.2"/>
  <cols>
    <col min="1" max="1" width="13.28515625" style="44" customWidth="1"/>
    <col min="2" max="2" width="52.28515625" style="44" customWidth="1"/>
    <col min="3" max="3" width="13" style="44" customWidth="1"/>
    <col min="4" max="4" width="8.85546875" style="44" customWidth="1"/>
    <col min="5" max="5" width="10.85546875" style="44" customWidth="1"/>
    <col min="6" max="6" width="12.28515625" style="44" customWidth="1"/>
    <col min="7" max="7" width="9.140625" style="44"/>
    <col min="8" max="8" width="111.85546875" style="44" customWidth="1"/>
    <col min="9" max="16384" width="9.140625" style="44"/>
  </cols>
  <sheetData>
    <row r="1" spans="1:8" ht="29.25" customHeight="1" x14ac:dyDescent="0.2">
      <c r="A1" s="227" t="s">
        <v>16</v>
      </c>
      <c r="B1" s="227"/>
      <c r="C1" s="227"/>
      <c r="D1" s="227"/>
      <c r="E1" s="227"/>
    </row>
    <row r="2" spans="1:8" s="101" customFormat="1" ht="50.25" customHeight="1" x14ac:dyDescent="0.2">
      <c r="A2" s="52" t="s">
        <v>492</v>
      </c>
      <c r="B2" s="213" t="s">
        <v>484</v>
      </c>
      <c r="C2" s="213"/>
      <c r="D2" s="213"/>
      <c r="E2" s="213"/>
      <c r="F2" s="213"/>
    </row>
    <row r="3" spans="1:8" s="101" customFormat="1" ht="18.75" customHeight="1" x14ac:dyDescent="0.2">
      <c r="A3" s="95"/>
      <c r="B3" s="102"/>
      <c r="C3" s="95"/>
      <c r="E3" s="95"/>
    </row>
    <row r="4" spans="1:8" s="101" customFormat="1" ht="15.75" customHeight="1" x14ac:dyDescent="0.2">
      <c r="A4" s="52" t="s">
        <v>27</v>
      </c>
      <c r="B4" s="53" t="s">
        <v>28</v>
      </c>
      <c r="C4" s="53" t="s">
        <v>29</v>
      </c>
      <c r="D4" s="53" t="s">
        <v>30</v>
      </c>
      <c r="E4" s="53" t="s">
        <v>82</v>
      </c>
      <c r="F4" s="53" t="s">
        <v>83</v>
      </c>
    </row>
    <row r="5" spans="1:8" s="101" customFormat="1" ht="30" x14ac:dyDescent="0.2">
      <c r="A5" s="103" t="s">
        <v>152</v>
      </c>
      <c r="B5" s="104" t="s">
        <v>485</v>
      </c>
      <c r="C5" s="103" t="s">
        <v>22</v>
      </c>
      <c r="D5" s="105">
        <v>1</v>
      </c>
      <c r="E5" s="80">
        <v>2699</v>
      </c>
      <c r="F5" s="80">
        <f>D5*E5</f>
        <v>2699</v>
      </c>
      <c r="H5" s="101" t="s">
        <v>151</v>
      </c>
    </row>
    <row r="6" spans="1:8" s="101" customFormat="1" ht="36.75" customHeight="1" x14ac:dyDescent="0.2">
      <c r="A6" s="5" t="s">
        <v>153</v>
      </c>
      <c r="B6" s="104" t="s">
        <v>161</v>
      </c>
      <c r="C6" s="103" t="s">
        <v>21</v>
      </c>
      <c r="D6" s="105">
        <v>5</v>
      </c>
      <c r="E6" s="80">
        <f>ROUND(11.56*1.2619,2)</f>
        <v>14.59</v>
      </c>
      <c r="F6" s="106">
        <f t="shared" ref="F6:F17" si="0">D6*E6</f>
        <v>72.95</v>
      </c>
    </row>
    <row r="7" spans="1:8" s="101" customFormat="1" ht="30" customHeight="1" x14ac:dyDescent="0.2">
      <c r="A7" s="5" t="s">
        <v>154</v>
      </c>
      <c r="B7" s="104" t="s">
        <v>160</v>
      </c>
      <c r="C7" s="103" t="s">
        <v>21</v>
      </c>
      <c r="D7" s="105">
        <v>1</v>
      </c>
      <c r="E7" s="80">
        <f>ROUND(33.89*1.2619,2)</f>
        <v>42.77</v>
      </c>
      <c r="F7" s="106">
        <f t="shared" si="0"/>
        <v>42.77</v>
      </c>
    </row>
    <row r="8" spans="1:8" s="101" customFormat="1" ht="30" x14ac:dyDescent="0.2">
      <c r="A8" s="5" t="s">
        <v>155</v>
      </c>
      <c r="B8" s="104" t="s">
        <v>108</v>
      </c>
      <c r="C8" s="103" t="s">
        <v>21</v>
      </c>
      <c r="D8" s="105">
        <v>4</v>
      </c>
      <c r="E8" s="80">
        <f>ROUND(53.38*1.2619,2)</f>
        <v>67.36</v>
      </c>
      <c r="F8" s="106">
        <f t="shared" si="0"/>
        <v>269.44</v>
      </c>
    </row>
    <row r="9" spans="1:8" s="101" customFormat="1" ht="34.5" customHeight="1" x14ac:dyDescent="0.2">
      <c r="A9" s="5" t="s">
        <v>156</v>
      </c>
      <c r="B9" s="107" t="s">
        <v>162</v>
      </c>
      <c r="C9" s="103" t="s">
        <v>22</v>
      </c>
      <c r="D9" s="108">
        <v>1</v>
      </c>
      <c r="E9" s="80">
        <f>ROUND(11.04*1.2619,2)</f>
        <v>13.93</v>
      </c>
      <c r="F9" s="106">
        <f t="shared" si="0"/>
        <v>13.93</v>
      </c>
    </row>
    <row r="10" spans="1:8" s="101" customFormat="1" ht="30" x14ac:dyDescent="0.2">
      <c r="A10" s="5" t="s">
        <v>157</v>
      </c>
      <c r="B10" s="104" t="s">
        <v>163</v>
      </c>
      <c r="C10" s="103" t="s">
        <v>22</v>
      </c>
      <c r="D10" s="105">
        <v>2</v>
      </c>
      <c r="E10" s="80">
        <f>ROUND(32.69*1.2619,2)</f>
        <v>41.25</v>
      </c>
      <c r="F10" s="106">
        <f t="shared" si="0"/>
        <v>82.5</v>
      </c>
    </row>
    <row r="11" spans="1:8" s="101" customFormat="1" ht="30" x14ac:dyDescent="0.2">
      <c r="A11" s="5" t="s">
        <v>158</v>
      </c>
      <c r="B11" s="104" t="s">
        <v>120</v>
      </c>
      <c r="C11" s="103" t="s">
        <v>22</v>
      </c>
      <c r="D11" s="105">
        <v>2</v>
      </c>
      <c r="E11" s="80">
        <f>ROUND(33.6*1.2619,2)</f>
        <v>42.4</v>
      </c>
      <c r="F11" s="106">
        <f t="shared" si="0"/>
        <v>84.8</v>
      </c>
    </row>
    <row r="12" spans="1:8" s="101" customFormat="1" ht="45" x14ac:dyDescent="0.2">
      <c r="A12" s="5" t="s">
        <v>159</v>
      </c>
      <c r="B12" s="104" t="s">
        <v>166</v>
      </c>
      <c r="C12" s="103" t="s">
        <v>22</v>
      </c>
      <c r="D12" s="105">
        <v>2</v>
      </c>
      <c r="E12" s="80">
        <f>ROUND(25.79*1.2619,2)</f>
        <v>32.54</v>
      </c>
      <c r="F12" s="106">
        <f t="shared" si="0"/>
        <v>65.08</v>
      </c>
    </row>
    <row r="13" spans="1:8" s="101" customFormat="1" ht="30" x14ac:dyDescent="0.2">
      <c r="A13" s="5" t="s">
        <v>164</v>
      </c>
      <c r="B13" s="109" t="s">
        <v>165</v>
      </c>
      <c r="C13" s="103" t="s">
        <v>22</v>
      </c>
      <c r="D13" s="108">
        <v>2</v>
      </c>
      <c r="E13" s="80">
        <f>ROUND(17.33*1.2619,2)</f>
        <v>21.87</v>
      </c>
      <c r="F13" s="106">
        <f t="shared" si="0"/>
        <v>43.74</v>
      </c>
    </row>
    <row r="14" spans="1:8" s="101" customFormat="1" ht="30" x14ac:dyDescent="0.2">
      <c r="A14" s="5" t="s">
        <v>118</v>
      </c>
      <c r="B14" s="25" t="s">
        <v>122</v>
      </c>
      <c r="C14" s="3" t="s">
        <v>22</v>
      </c>
      <c r="D14" s="4">
        <v>1</v>
      </c>
      <c r="E14" s="80">
        <f>ROUND(144*1.2619,2)</f>
        <v>181.71</v>
      </c>
      <c r="F14" s="106">
        <f t="shared" si="0"/>
        <v>181.71</v>
      </c>
    </row>
    <row r="15" spans="1:8" s="101" customFormat="1" ht="30" x14ac:dyDescent="0.2">
      <c r="A15" s="5" t="s">
        <v>123</v>
      </c>
      <c r="B15" s="25" t="s">
        <v>125</v>
      </c>
      <c r="C15" s="3" t="s">
        <v>22</v>
      </c>
      <c r="D15" s="4">
        <v>2</v>
      </c>
      <c r="E15" s="80">
        <f>ROUND(80.88*1.2619,2)</f>
        <v>102.06</v>
      </c>
      <c r="F15" s="106">
        <f t="shared" si="0"/>
        <v>204.12</v>
      </c>
    </row>
    <row r="16" spans="1:8" s="101" customFormat="1" ht="30" x14ac:dyDescent="0.2">
      <c r="A16" s="54" t="s">
        <v>145</v>
      </c>
      <c r="B16" s="51" t="s">
        <v>148</v>
      </c>
      <c r="C16" s="3" t="s">
        <v>20</v>
      </c>
      <c r="D16" s="105">
        <v>4</v>
      </c>
      <c r="E16" s="80">
        <f>ROUND(10.23*1.2619,2)</f>
        <v>12.91</v>
      </c>
      <c r="F16" s="106">
        <f t="shared" si="0"/>
        <v>51.64</v>
      </c>
    </row>
    <row r="17" spans="1:7" s="101" customFormat="1" ht="15" x14ac:dyDescent="0.2">
      <c r="A17" s="54" t="s">
        <v>146</v>
      </c>
      <c r="B17" s="50" t="s">
        <v>149</v>
      </c>
      <c r="C17" s="3" t="s">
        <v>20</v>
      </c>
      <c r="D17" s="105">
        <v>1</v>
      </c>
      <c r="E17" s="80">
        <v>5.34</v>
      </c>
      <c r="F17" s="106">
        <f t="shared" si="0"/>
        <v>5.34</v>
      </c>
    </row>
    <row r="18" spans="1:7" s="101" customFormat="1" ht="33" customHeight="1" x14ac:dyDescent="0.2">
      <c r="A18" s="54" t="s">
        <v>147</v>
      </c>
      <c r="B18" s="51" t="s">
        <v>150</v>
      </c>
      <c r="C18" s="103" t="s">
        <v>20</v>
      </c>
      <c r="D18" s="105">
        <v>4</v>
      </c>
      <c r="E18" s="80">
        <f>ROUND((10.71/1.309)*1.2619,2)</f>
        <v>10.32</v>
      </c>
      <c r="F18" s="106">
        <f>D18*E18</f>
        <v>41.28</v>
      </c>
    </row>
    <row r="19" spans="1:7" s="101" customFormat="1" ht="24.75" customHeight="1" x14ac:dyDescent="0.2">
      <c r="E19" s="57" t="s">
        <v>83</v>
      </c>
      <c r="F19" s="57">
        <f>SUM(F5:F18)</f>
        <v>3858.2999999999997</v>
      </c>
    </row>
    <row r="20" spans="1:7" ht="24.75" customHeight="1" x14ac:dyDescent="0.2">
      <c r="G20" s="46"/>
    </row>
    <row r="21" spans="1:7" ht="24.75" customHeight="1" x14ac:dyDescent="0.2"/>
    <row r="22" spans="1:7" ht="24.75" customHeight="1" x14ac:dyDescent="0.2"/>
    <row r="23" spans="1:7" ht="24.75" customHeight="1" x14ac:dyDescent="0.2"/>
    <row r="24" spans="1:7" ht="24.75" customHeight="1" x14ac:dyDescent="0.2"/>
    <row r="25" spans="1:7" ht="24.75" customHeight="1" x14ac:dyDescent="0.2"/>
    <row r="26" spans="1:7" ht="24.75" customHeight="1" x14ac:dyDescent="0.2"/>
    <row r="27" spans="1:7" ht="24.75" customHeight="1" x14ac:dyDescent="0.2"/>
    <row r="28" spans="1:7" ht="24.75" customHeight="1" x14ac:dyDescent="0.2"/>
    <row r="29" spans="1:7" ht="24.75" customHeight="1" x14ac:dyDescent="0.2"/>
    <row r="30" spans="1:7" ht="24.75" customHeight="1" x14ac:dyDescent="0.2"/>
    <row r="31" spans="1:7" ht="24.75" customHeight="1" x14ac:dyDescent="0.2"/>
    <row r="32" spans="1:7" ht="24.75" customHeight="1" x14ac:dyDescent="0.2"/>
    <row r="33" ht="24.75" customHeight="1" x14ac:dyDescent="0.2"/>
  </sheetData>
  <mergeCells count="2">
    <mergeCell ref="A1:E1"/>
    <mergeCell ref="B2:F2"/>
  </mergeCells>
  <printOptions horizontalCentered="1"/>
  <pageMargins left="0.39370078740157483" right="0.39370078740157483" top="0.39370078740157483" bottom="0.39370078740157483" header="0" footer="0"/>
  <pageSetup paperSize="9" scale="85" orientation="portrait" r:id="rId1"/>
  <headerFooter alignWithMargins="0">
    <oddHeader>&amp;L&amp;"Arial,Itálico"&amp;11HISTÓRICOS ORÇAMENTÁRIOS</oddHeader>
    <oddFooter>&amp;RPágina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4"/>
  <dimension ref="A1:G27"/>
  <sheetViews>
    <sheetView showGridLines="0" zoomScale="85" zoomScaleNormal="85" workbookViewId="0">
      <selection activeCell="A4" sqref="A4"/>
    </sheetView>
  </sheetViews>
  <sheetFormatPr defaultRowHeight="12.75" x14ac:dyDescent="0.2"/>
  <cols>
    <col min="1" max="1" width="13.42578125" customWidth="1"/>
    <col min="2" max="2" width="49.28515625" customWidth="1"/>
    <col min="3" max="3" width="11" customWidth="1"/>
    <col min="4" max="4" width="8" customWidth="1"/>
    <col min="5" max="5" width="10.140625" customWidth="1"/>
    <col min="6" max="6" width="10.28515625" customWidth="1"/>
    <col min="7" max="7" width="61" bestFit="1" customWidth="1"/>
  </cols>
  <sheetData>
    <row r="1" spans="1:6" s="1" customFormat="1" ht="18.75" customHeight="1" x14ac:dyDescent="0.2">
      <c r="A1" s="214" t="s">
        <v>15</v>
      </c>
      <c r="B1" s="214"/>
      <c r="C1" s="214"/>
      <c r="D1" s="214"/>
      <c r="E1" s="214"/>
      <c r="F1" s="214"/>
    </row>
    <row r="2" spans="1:6" s="1" customFormat="1" ht="18.75" customHeight="1" x14ac:dyDescent="0.2">
      <c r="A2" s="59"/>
      <c r="B2" s="59"/>
      <c r="C2" s="59"/>
      <c r="D2" s="59"/>
      <c r="E2" s="59"/>
      <c r="F2" s="59"/>
    </row>
    <row r="3" spans="1:6" ht="16.5" customHeight="1" x14ac:dyDescent="0.2">
      <c r="A3" s="119" t="s">
        <v>503</v>
      </c>
      <c r="B3" s="213" t="s">
        <v>263</v>
      </c>
      <c r="C3" s="213"/>
      <c r="D3" s="213"/>
      <c r="E3" s="213"/>
      <c r="F3" s="213"/>
    </row>
    <row r="4" spans="1:6" ht="12" customHeight="1" x14ac:dyDescent="0.25">
      <c r="A4" s="2"/>
      <c r="B4" s="88"/>
      <c r="C4" s="2"/>
      <c r="D4" s="2"/>
      <c r="E4" s="2"/>
      <c r="F4" s="2"/>
    </row>
    <row r="5" spans="1:6" s="1" customFormat="1" ht="16.5" customHeight="1" x14ac:dyDescent="0.2">
      <c r="A5" s="52" t="s">
        <v>27</v>
      </c>
      <c r="B5" s="53" t="s">
        <v>28</v>
      </c>
      <c r="C5" s="53" t="s">
        <v>29</v>
      </c>
      <c r="D5" s="53" t="s">
        <v>30</v>
      </c>
      <c r="E5" s="53" t="s">
        <v>82</v>
      </c>
      <c r="F5" s="53" t="s">
        <v>83</v>
      </c>
    </row>
    <row r="6" spans="1:6" s="1" customFormat="1" ht="30" x14ac:dyDescent="0.2">
      <c r="A6" s="5" t="s">
        <v>168</v>
      </c>
      <c r="B6" s="136" t="s">
        <v>167</v>
      </c>
      <c r="C6" s="103" t="s">
        <v>22</v>
      </c>
      <c r="D6" s="103">
        <v>1</v>
      </c>
      <c r="E6" s="103">
        <f>ROUND(18.5*1.2619,2)</f>
        <v>23.35</v>
      </c>
      <c r="F6" s="103">
        <f>ROUND(D6*E6,2)</f>
        <v>23.35</v>
      </c>
    </row>
    <row r="7" spans="1:6" s="1" customFormat="1" ht="39.75" customHeight="1" x14ac:dyDescent="0.2">
      <c r="A7" s="103" t="s">
        <v>115</v>
      </c>
      <c r="B7" s="136" t="s">
        <v>119</v>
      </c>
      <c r="C7" s="103" t="s">
        <v>22</v>
      </c>
      <c r="D7" s="103">
        <v>1</v>
      </c>
      <c r="E7" s="103">
        <f>ROUND(8.04*1.2619,2)</f>
        <v>10.15</v>
      </c>
      <c r="F7" s="103">
        <f t="shared" ref="F7:F15" si="0">ROUND(D7*E7,2)</f>
        <v>10.15</v>
      </c>
    </row>
    <row r="8" spans="1:6" s="1" customFormat="1" ht="29.25" customHeight="1" x14ac:dyDescent="0.2">
      <c r="A8" s="103" t="s">
        <v>123</v>
      </c>
      <c r="B8" s="136" t="s">
        <v>125</v>
      </c>
      <c r="C8" s="103" t="s">
        <v>22</v>
      </c>
      <c r="D8" s="103">
        <v>1</v>
      </c>
      <c r="E8" s="103">
        <f>ROUND(80.88*1.2619,2)</f>
        <v>102.06</v>
      </c>
      <c r="F8" s="103">
        <f t="shared" si="0"/>
        <v>102.06</v>
      </c>
    </row>
    <row r="9" spans="1:6" s="1" customFormat="1" ht="27.75" customHeight="1" x14ac:dyDescent="0.2">
      <c r="A9" s="103" t="s">
        <v>127</v>
      </c>
      <c r="B9" s="136" t="s">
        <v>96</v>
      </c>
      <c r="C9" s="103" t="s">
        <v>11</v>
      </c>
      <c r="D9" s="103">
        <v>0.95</v>
      </c>
      <c r="E9" s="103">
        <v>9.85</v>
      </c>
      <c r="F9" s="103">
        <f t="shared" si="0"/>
        <v>9.36</v>
      </c>
    </row>
    <row r="10" spans="1:6" ht="15" x14ac:dyDescent="0.2">
      <c r="A10" s="103" t="s">
        <v>128</v>
      </c>
      <c r="B10" s="136" t="s">
        <v>84</v>
      </c>
      <c r="C10" s="103" t="s">
        <v>10</v>
      </c>
      <c r="D10" s="103">
        <v>2.13</v>
      </c>
      <c r="E10" s="103">
        <v>9.94</v>
      </c>
      <c r="F10" s="103">
        <f t="shared" si="0"/>
        <v>21.17</v>
      </c>
    </row>
    <row r="11" spans="1:6" ht="23.25" customHeight="1" x14ac:dyDescent="0.2">
      <c r="A11" s="103" t="s">
        <v>86</v>
      </c>
      <c r="B11" s="136" t="s">
        <v>97</v>
      </c>
      <c r="C11" s="103" t="s">
        <v>11</v>
      </c>
      <c r="D11" s="103">
        <v>0.13</v>
      </c>
      <c r="E11" s="103">
        <v>492.8</v>
      </c>
      <c r="F11" s="103">
        <f t="shared" si="0"/>
        <v>64.06</v>
      </c>
    </row>
    <row r="12" spans="1:6" s="18" customFormat="1" ht="30" x14ac:dyDescent="0.25">
      <c r="A12" s="103" t="s">
        <v>88</v>
      </c>
      <c r="B12" s="136" t="s">
        <v>98</v>
      </c>
      <c r="C12" s="103" t="s">
        <v>12</v>
      </c>
      <c r="D12" s="103">
        <v>2.16</v>
      </c>
      <c r="E12" s="103">
        <v>54.41</v>
      </c>
      <c r="F12" s="103">
        <f t="shared" si="0"/>
        <v>117.53</v>
      </c>
    </row>
    <row r="13" spans="1:6" s="18" customFormat="1" ht="16.5" customHeight="1" x14ac:dyDescent="0.25">
      <c r="A13" s="103" t="s">
        <v>129</v>
      </c>
      <c r="B13" s="136" t="s">
        <v>99</v>
      </c>
      <c r="C13" s="103" t="s">
        <v>12</v>
      </c>
      <c r="D13" s="103">
        <v>2</v>
      </c>
      <c r="E13" s="103">
        <v>29.87</v>
      </c>
      <c r="F13" s="103">
        <f t="shared" si="0"/>
        <v>59.74</v>
      </c>
    </row>
    <row r="14" spans="1:6" s="18" customFormat="1" ht="21.75" customHeight="1" x14ac:dyDescent="0.25">
      <c r="A14" s="103" t="s">
        <v>92</v>
      </c>
      <c r="B14" s="136" t="s">
        <v>100</v>
      </c>
      <c r="C14" s="103" t="s">
        <v>12</v>
      </c>
      <c r="D14" s="103">
        <v>2</v>
      </c>
      <c r="E14" s="103">
        <v>5.98</v>
      </c>
      <c r="F14" s="103">
        <f t="shared" si="0"/>
        <v>11.96</v>
      </c>
    </row>
    <row r="15" spans="1:6" s="18" customFormat="1" ht="30" x14ac:dyDescent="0.25">
      <c r="A15" s="103" t="s">
        <v>94</v>
      </c>
      <c r="B15" s="136" t="s">
        <v>101</v>
      </c>
      <c r="C15" s="103" t="s">
        <v>12</v>
      </c>
      <c r="D15" s="103">
        <v>0.03</v>
      </c>
      <c r="E15" s="103">
        <v>15.93</v>
      </c>
      <c r="F15" s="103">
        <f t="shared" si="0"/>
        <v>0.48</v>
      </c>
    </row>
    <row r="16" spans="1:6" ht="15" x14ac:dyDescent="0.25">
      <c r="A16" s="2"/>
      <c r="B16" s="2"/>
      <c r="C16" s="2"/>
      <c r="D16" s="99"/>
      <c r="E16" s="2"/>
      <c r="F16" s="2"/>
    </row>
    <row r="17" spans="1:7" ht="15" x14ac:dyDescent="0.25">
      <c r="A17" s="2"/>
      <c r="B17" s="2"/>
      <c r="C17" s="2"/>
      <c r="D17" s="2"/>
      <c r="E17" s="57" t="s">
        <v>83</v>
      </c>
      <c r="F17" s="138">
        <f>SUM(F6:F15)</f>
        <v>419.86000000000007</v>
      </c>
    </row>
    <row r="18" spans="1:7" x14ac:dyDescent="0.2">
      <c r="A18" s="45"/>
    </row>
    <row r="21" spans="1:7" x14ac:dyDescent="0.2">
      <c r="G21" s="45"/>
    </row>
    <row r="24" spans="1:7" ht="16.5" x14ac:dyDescent="0.2">
      <c r="A24" s="5"/>
      <c r="B24" s="30"/>
      <c r="C24" s="42"/>
      <c r="D24" s="43"/>
      <c r="E24" s="80"/>
    </row>
    <row r="27" spans="1:7" x14ac:dyDescent="0.2">
      <c r="A27" s="45"/>
    </row>
  </sheetData>
  <mergeCells count="2">
    <mergeCell ref="A1:F1"/>
    <mergeCell ref="B3:F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92" orientation="portrait" horizontalDpi="300" verticalDpi="300" r:id="rId1"/>
  <headerFooter alignWithMargins="0">
    <oddHeader>&amp;L&amp;"Arial,Itálico"&amp;11HISTÓRICOS ORÇAMENTÁRIOS</oddHeader>
    <oddFooter>&amp;RPágina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="82" zoomScaleNormal="82" workbookViewId="0">
      <selection activeCell="F17" sqref="F17"/>
    </sheetView>
  </sheetViews>
  <sheetFormatPr defaultRowHeight="12.75" x14ac:dyDescent="0.2"/>
  <cols>
    <col min="1" max="1" width="12.140625" customWidth="1"/>
    <col min="2" max="2" width="44.5703125" customWidth="1"/>
    <col min="3" max="3" width="7.42578125" customWidth="1"/>
    <col min="6" max="6" width="11.42578125" customWidth="1"/>
  </cols>
  <sheetData>
    <row r="1" spans="1:17" ht="18.75" x14ac:dyDescent="0.2">
      <c r="A1" s="214" t="s">
        <v>295</v>
      </c>
      <c r="B1" s="214"/>
      <c r="C1" s="214"/>
      <c r="D1" s="214"/>
      <c r="E1" s="214"/>
      <c r="F1" s="214"/>
    </row>
    <row r="2" spans="1:17" ht="15" x14ac:dyDescent="0.25">
      <c r="A2" s="133"/>
      <c r="B2" s="88"/>
      <c r="C2" s="2"/>
      <c r="D2" s="2"/>
      <c r="E2" s="2"/>
      <c r="F2" s="2"/>
    </row>
    <row r="3" spans="1:17" ht="15" x14ac:dyDescent="0.2">
      <c r="A3" s="119" t="s">
        <v>504</v>
      </c>
      <c r="B3" s="213" t="s">
        <v>290</v>
      </c>
      <c r="C3" s="213"/>
      <c r="D3" s="213"/>
      <c r="E3" s="213"/>
      <c r="F3" s="213"/>
    </row>
    <row r="4" spans="1:17" ht="15" x14ac:dyDescent="0.25">
      <c r="A4" s="2"/>
      <c r="B4" s="88"/>
      <c r="C4" s="2"/>
      <c r="D4" s="2"/>
      <c r="E4" s="2"/>
      <c r="F4" s="2"/>
    </row>
    <row r="5" spans="1:17" ht="14.25" x14ac:dyDescent="0.2">
      <c r="A5" s="52" t="s">
        <v>27</v>
      </c>
      <c r="B5" s="53" t="s">
        <v>28</v>
      </c>
      <c r="C5" s="53" t="s">
        <v>29</v>
      </c>
      <c r="D5" s="53" t="s">
        <v>30</v>
      </c>
      <c r="E5" s="53" t="s">
        <v>82</v>
      </c>
      <c r="F5" s="53" t="s">
        <v>83</v>
      </c>
    </row>
    <row r="6" spans="1:17" ht="33" customHeight="1" x14ac:dyDescent="0.25">
      <c r="A6" s="91" t="s">
        <v>152</v>
      </c>
      <c r="B6" s="147" t="s">
        <v>273</v>
      </c>
      <c r="C6" s="91" t="s">
        <v>22</v>
      </c>
      <c r="D6" s="122">
        <v>1</v>
      </c>
      <c r="E6" s="103">
        <f>ROUND(83*1.2619,2)</f>
        <v>104.74</v>
      </c>
      <c r="F6" s="103">
        <f>ROUND(D6*E6,2)</f>
        <v>104.74</v>
      </c>
    </row>
    <row r="7" spans="1:17" ht="60" x14ac:dyDescent="0.2">
      <c r="A7" s="134" t="s">
        <v>306</v>
      </c>
      <c r="B7" s="136" t="s">
        <v>307</v>
      </c>
      <c r="C7" s="91" t="s">
        <v>22</v>
      </c>
      <c r="D7" s="135">
        <v>1</v>
      </c>
      <c r="E7" s="103">
        <f>ROUND(15.33*1.2619,2)</f>
        <v>19.34</v>
      </c>
      <c r="F7" s="103">
        <f t="shared" ref="F7:F14" si="0">ROUND(D7*E7,2)</f>
        <v>19.34</v>
      </c>
      <c r="I7" s="45"/>
    </row>
    <row r="8" spans="1:17" ht="30" x14ac:dyDescent="0.2">
      <c r="A8" s="134" t="s">
        <v>308</v>
      </c>
      <c r="B8" s="136" t="s">
        <v>309</v>
      </c>
      <c r="C8" s="91" t="s">
        <v>22</v>
      </c>
      <c r="D8" s="135">
        <v>1</v>
      </c>
      <c r="E8" s="103">
        <f>ROUND(4.62*1.2619,2)</f>
        <v>5.83</v>
      </c>
      <c r="F8" s="103">
        <f t="shared" si="0"/>
        <v>5.83</v>
      </c>
      <c r="I8" s="45"/>
    </row>
    <row r="9" spans="1:17" ht="30" x14ac:dyDescent="0.2">
      <c r="A9" s="5" t="s">
        <v>310</v>
      </c>
      <c r="B9" s="136" t="s">
        <v>311</v>
      </c>
      <c r="C9" s="91" t="s">
        <v>21</v>
      </c>
      <c r="D9" s="135">
        <v>6</v>
      </c>
      <c r="E9" s="103">
        <f>ROUND(23.47*1.2619,2)</f>
        <v>29.62</v>
      </c>
      <c r="F9" s="103">
        <f t="shared" si="0"/>
        <v>177.72</v>
      </c>
      <c r="H9" s="45"/>
    </row>
    <row r="10" spans="1:17" ht="30" x14ac:dyDescent="0.2">
      <c r="A10" s="94" t="s">
        <v>88</v>
      </c>
      <c r="B10" s="90" t="s">
        <v>89</v>
      </c>
      <c r="C10" s="91" t="s">
        <v>12</v>
      </c>
      <c r="D10" s="92">
        <v>2.8</v>
      </c>
      <c r="E10" s="91">
        <v>54.41</v>
      </c>
      <c r="F10" s="103">
        <f t="shared" si="0"/>
        <v>152.35</v>
      </c>
      <c r="H10" s="146"/>
      <c r="I10" s="146"/>
      <c r="J10" s="146"/>
      <c r="K10" s="153"/>
      <c r="L10" s="150"/>
      <c r="M10" s="154"/>
      <c r="N10" s="155"/>
      <c r="O10" s="152"/>
      <c r="P10" s="152"/>
      <c r="Q10" s="146"/>
    </row>
    <row r="11" spans="1:17" ht="30" x14ac:dyDescent="0.2">
      <c r="A11" s="5" t="s">
        <v>86</v>
      </c>
      <c r="B11" s="136" t="s">
        <v>97</v>
      </c>
      <c r="C11" s="103" t="s">
        <v>12</v>
      </c>
      <c r="D11" s="135">
        <v>0.04</v>
      </c>
      <c r="E11" s="105">
        <v>492.8</v>
      </c>
      <c r="F11" s="103">
        <f t="shared" si="0"/>
        <v>19.71</v>
      </c>
      <c r="H11" s="146"/>
      <c r="I11" s="149"/>
      <c r="J11" s="150"/>
      <c r="K11" s="148"/>
      <c r="L11" s="151"/>
      <c r="M11" s="152"/>
      <c r="N11" s="152"/>
      <c r="O11" s="146"/>
      <c r="P11" s="146"/>
      <c r="Q11" s="146"/>
    </row>
    <row r="12" spans="1:17" ht="30" x14ac:dyDescent="0.2">
      <c r="A12" s="5" t="s">
        <v>313</v>
      </c>
      <c r="B12" s="136" t="s">
        <v>312</v>
      </c>
      <c r="C12" s="103" t="s">
        <v>12</v>
      </c>
      <c r="D12" s="135">
        <v>0.64</v>
      </c>
      <c r="E12" s="103">
        <v>80.56</v>
      </c>
      <c r="F12" s="103">
        <f>ROUND(D12*E12,2)</f>
        <v>51.56</v>
      </c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7" ht="15" x14ac:dyDescent="0.2">
      <c r="A13" s="5" t="s">
        <v>128</v>
      </c>
      <c r="B13" s="136" t="s">
        <v>84</v>
      </c>
      <c r="C13" s="103" t="s">
        <v>292</v>
      </c>
      <c r="D13" s="135">
        <v>3</v>
      </c>
      <c r="E13" s="103">
        <v>9.94</v>
      </c>
      <c r="F13" s="103">
        <f t="shared" si="0"/>
        <v>29.82</v>
      </c>
      <c r="I13" s="146"/>
      <c r="J13" s="149"/>
      <c r="K13" s="150"/>
      <c r="L13" s="154"/>
      <c r="M13" s="155"/>
      <c r="N13" s="156"/>
      <c r="O13" s="152"/>
      <c r="P13" s="146"/>
    </row>
    <row r="14" spans="1:17" ht="15" x14ac:dyDescent="0.2">
      <c r="A14" s="5" t="s">
        <v>314</v>
      </c>
      <c r="B14" s="136" t="s">
        <v>291</v>
      </c>
      <c r="C14" s="103" t="s">
        <v>20</v>
      </c>
      <c r="D14" s="135">
        <v>8</v>
      </c>
      <c r="E14" s="103">
        <f>ROUND(8.81*1.2619,2)</f>
        <v>11.12</v>
      </c>
      <c r="F14" s="103">
        <f t="shared" si="0"/>
        <v>88.96</v>
      </c>
      <c r="I14" s="146"/>
      <c r="J14" s="146"/>
      <c r="K14" s="146"/>
      <c r="L14" s="146"/>
      <c r="M14" s="146"/>
      <c r="N14" s="146"/>
      <c r="O14" s="146"/>
      <c r="P14" s="146"/>
    </row>
    <row r="15" spans="1:17" ht="30" x14ac:dyDescent="0.2">
      <c r="A15" s="5" t="s">
        <v>145</v>
      </c>
      <c r="B15" s="136" t="s">
        <v>148</v>
      </c>
      <c r="C15" s="103" t="s">
        <v>20</v>
      </c>
      <c r="D15" s="135">
        <v>16</v>
      </c>
      <c r="E15" s="103">
        <f>ROUND(10.23*1.2619,2)</f>
        <v>12.91</v>
      </c>
      <c r="F15" s="103">
        <f>ROUND(D15*E15,2)</f>
        <v>206.56</v>
      </c>
    </row>
    <row r="16" spans="1:17" ht="14.25" customHeight="1" x14ac:dyDescent="0.25">
      <c r="A16" s="98"/>
      <c r="B16" s="88"/>
      <c r="C16" s="2"/>
      <c r="D16" s="98"/>
      <c r="E16" s="137"/>
      <c r="F16" s="2"/>
    </row>
    <row r="17" spans="1:6" ht="14.25" customHeight="1" x14ac:dyDescent="0.25">
      <c r="A17" s="98"/>
      <c r="B17" s="88"/>
      <c r="C17" s="2"/>
      <c r="D17" s="98"/>
      <c r="E17" s="57" t="s">
        <v>83</v>
      </c>
      <c r="F17" s="138">
        <f>SUM(F6:F15)</f>
        <v>856.59000000000015</v>
      </c>
    </row>
    <row r="18" spans="1:6" ht="14.25" customHeight="1" x14ac:dyDescent="0.2"/>
    <row r="19" spans="1:6" ht="14.25" customHeight="1" x14ac:dyDescent="0.2"/>
    <row r="20" spans="1:6" ht="14.25" customHeight="1" x14ac:dyDescent="0.2"/>
    <row r="21" spans="1:6" ht="15" x14ac:dyDescent="0.2">
      <c r="A21" s="5"/>
      <c r="B21" s="124"/>
      <c r="C21" s="103"/>
      <c r="D21" s="105"/>
      <c r="F21" s="103"/>
    </row>
    <row r="22" spans="1:6" ht="15" x14ac:dyDescent="0.2">
      <c r="A22" s="5"/>
      <c r="B22" s="124"/>
      <c r="C22" s="103"/>
      <c r="D22" s="105"/>
      <c r="E22" s="85"/>
      <c r="F22" s="103"/>
    </row>
  </sheetData>
  <mergeCells count="2">
    <mergeCell ref="A1:F1"/>
    <mergeCell ref="B3:F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5"/>
  <dimension ref="A1:G80"/>
  <sheetViews>
    <sheetView showGridLines="0" zoomScale="85" zoomScaleNormal="85" workbookViewId="0">
      <selection sqref="A1:F25"/>
    </sheetView>
  </sheetViews>
  <sheetFormatPr defaultRowHeight="12.75" x14ac:dyDescent="0.2"/>
  <cols>
    <col min="1" max="1" width="14.140625" customWidth="1"/>
    <col min="2" max="2" width="30.140625" customWidth="1"/>
    <col min="3" max="3" width="8.28515625" customWidth="1"/>
    <col min="4" max="4" width="10.28515625" customWidth="1"/>
    <col min="5" max="5" width="10.7109375" customWidth="1"/>
    <col min="6" max="6" width="9.42578125" customWidth="1"/>
    <col min="7" max="7" width="61" bestFit="1" customWidth="1"/>
  </cols>
  <sheetData>
    <row r="1" spans="1:7" s="1" customFormat="1" ht="18.75" customHeight="1" x14ac:dyDescent="0.2">
      <c r="A1" s="214" t="s">
        <v>31</v>
      </c>
      <c r="B1" s="214"/>
      <c r="C1" s="214"/>
      <c r="D1" s="214"/>
      <c r="E1" s="214"/>
      <c r="F1" s="214"/>
    </row>
    <row r="2" spans="1:7" s="1" customFormat="1" ht="15" x14ac:dyDescent="0.2">
      <c r="A2" s="59"/>
      <c r="B2" s="59"/>
      <c r="C2" s="59"/>
      <c r="D2" s="59"/>
      <c r="E2" s="59"/>
      <c r="F2" s="50"/>
    </row>
    <row r="3" spans="1:7" ht="46.5" customHeight="1" x14ac:dyDescent="0.25">
      <c r="A3" s="119" t="s">
        <v>264</v>
      </c>
      <c r="B3" s="216" t="s">
        <v>265</v>
      </c>
      <c r="C3" s="216"/>
      <c r="D3" s="216"/>
      <c r="E3" s="216"/>
      <c r="F3" s="216"/>
    </row>
    <row r="4" spans="1:7" ht="12" customHeight="1" x14ac:dyDescent="0.25">
      <c r="A4" s="2"/>
      <c r="B4" s="88"/>
      <c r="C4" s="2"/>
      <c r="D4" s="2"/>
      <c r="E4" s="2"/>
      <c r="F4" s="2"/>
    </row>
    <row r="5" spans="1:7" s="1" customFormat="1" ht="16.5" customHeight="1" x14ac:dyDescent="0.2">
      <c r="A5" s="52" t="s">
        <v>27</v>
      </c>
      <c r="B5" s="53" t="s">
        <v>28</v>
      </c>
      <c r="C5" s="53" t="s">
        <v>29</v>
      </c>
      <c r="D5" s="53" t="s">
        <v>30</v>
      </c>
      <c r="E5" s="53" t="s">
        <v>82</v>
      </c>
      <c r="F5" s="53" t="s">
        <v>83</v>
      </c>
    </row>
    <row r="6" spans="1:7" s="1" customFormat="1" ht="15" x14ac:dyDescent="0.25">
      <c r="A6" s="114" t="s">
        <v>152</v>
      </c>
      <c r="B6" s="115" t="s">
        <v>6</v>
      </c>
      <c r="C6" s="116" t="s">
        <v>26</v>
      </c>
      <c r="D6" s="117">
        <v>10</v>
      </c>
      <c r="E6" s="3">
        <v>0.25</v>
      </c>
      <c r="F6" s="4">
        <f>E6*D6</f>
        <v>2.5</v>
      </c>
    </row>
    <row r="7" spans="1:7" s="1" customFormat="1" ht="15" x14ac:dyDescent="0.25">
      <c r="A7" s="114" t="s">
        <v>152</v>
      </c>
      <c r="B7" s="115" t="s">
        <v>7</v>
      </c>
      <c r="C7" s="116" t="s">
        <v>21</v>
      </c>
      <c r="D7" s="117">
        <v>15</v>
      </c>
      <c r="E7" s="4">
        <v>1.1000000000000001</v>
      </c>
      <c r="F7" s="4">
        <f t="shared" ref="F7:F23" si="0">E7*D7</f>
        <v>16.5</v>
      </c>
    </row>
    <row r="8" spans="1:7" s="1" customFormat="1" ht="15" x14ac:dyDescent="0.25">
      <c r="A8" s="114" t="s">
        <v>152</v>
      </c>
      <c r="B8" s="115" t="s">
        <v>34</v>
      </c>
      <c r="C8" s="116" t="s">
        <v>21</v>
      </c>
      <c r="D8" s="117">
        <v>20</v>
      </c>
      <c r="E8" s="3">
        <v>1.83</v>
      </c>
      <c r="F8" s="4">
        <f t="shared" si="0"/>
        <v>36.6</v>
      </c>
    </row>
    <row r="9" spans="1:7" ht="15" x14ac:dyDescent="0.25">
      <c r="A9" s="114" t="s">
        <v>152</v>
      </c>
      <c r="B9" s="115" t="s">
        <v>35</v>
      </c>
      <c r="C9" s="116" t="s">
        <v>22</v>
      </c>
      <c r="D9" s="117">
        <v>1</v>
      </c>
      <c r="E9" s="98">
        <v>17.62</v>
      </c>
      <c r="F9" s="4">
        <f t="shared" si="0"/>
        <v>17.62</v>
      </c>
    </row>
    <row r="10" spans="1:7" ht="15" x14ac:dyDescent="0.25">
      <c r="A10" s="114" t="s">
        <v>152</v>
      </c>
      <c r="B10" s="115" t="s">
        <v>19</v>
      </c>
      <c r="C10" s="116" t="s">
        <v>21</v>
      </c>
      <c r="D10" s="117">
        <v>50</v>
      </c>
      <c r="E10" s="98">
        <v>2.69</v>
      </c>
      <c r="F10" s="4">
        <f t="shared" si="0"/>
        <v>134.5</v>
      </c>
    </row>
    <row r="11" spans="1:7" ht="15" x14ac:dyDescent="0.25">
      <c r="A11" s="114" t="s">
        <v>284</v>
      </c>
      <c r="B11" s="107" t="s">
        <v>285</v>
      </c>
      <c r="C11" s="91" t="s">
        <v>22</v>
      </c>
      <c r="D11" s="92">
        <v>1</v>
      </c>
      <c r="E11" s="98">
        <f>ROUND(17.42*1.2619,2)</f>
        <v>21.98</v>
      </c>
      <c r="F11" s="4">
        <f t="shared" si="0"/>
        <v>21.98</v>
      </c>
      <c r="G11" s="45"/>
    </row>
    <row r="12" spans="1:7" ht="15" x14ac:dyDescent="0.25">
      <c r="A12" s="114" t="s">
        <v>152</v>
      </c>
      <c r="B12" s="107" t="s">
        <v>36</v>
      </c>
      <c r="C12" s="91" t="s">
        <v>26</v>
      </c>
      <c r="D12" s="92">
        <v>8</v>
      </c>
      <c r="E12" s="98">
        <v>1.1499999999999999</v>
      </c>
      <c r="F12" s="4">
        <f t="shared" si="0"/>
        <v>9.1999999999999993</v>
      </c>
    </row>
    <row r="13" spans="1:7" ht="30" x14ac:dyDescent="0.25">
      <c r="A13" s="114" t="s">
        <v>152</v>
      </c>
      <c r="B13" s="107" t="s">
        <v>37</v>
      </c>
      <c r="C13" s="91" t="s">
        <v>21</v>
      </c>
      <c r="D13" s="92">
        <v>3</v>
      </c>
      <c r="E13" s="98">
        <f>6.57/3</f>
        <v>2.19</v>
      </c>
      <c r="F13" s="4">
        <f t="shared" si="0"/>
        <v>6.57</v>
      </c>
    </row>
    <row r="14" spans="1:7" s="18" customFormat="1" ht="16.5" x14ac:dyDescent="0.25">
      <c r="A14" s="114" t="s">
        <v>152</v>
      </c>
      <c r="B14" s="115" t="s">
        <v>25</v>
      </c>
      <c r="C14" s="116" t="s">
        <v>22</v>
      </c>
      <c r="D14" s="117">
        <v>6</v>
      </c>
      <c r="E14" s="98">
        <v>0.87</v>
      </c>
      <c r="F14" s="4">
        <f t="shared" si="0"/>
        <v>5.22</v>
      </c>
    </row>
    <row r="15" spans="1:7" s="18" customFormat="1" ht="30" x14ac:dyDescent="0.25">
      <c r="A15" s="114" t="s">
        <v>152</v>
      </c>
      <c r="B15" s="118" t="s">
        <v>23</v>
      </c>
      <c r="C15" s="91" t="s">
        <v>22</v>
      </c>
      <c r="D15" s="92">
        <v>4</v>
      </c>
      <c r="E15" s="98">
        <v>2.37</v>
      </c>
      <c r="F15" s="4">
        <f t="shared" si="0"/>
        <v>9.48</v>
      </c>
    </row>
    <row r="16" spans="1:7" s="18" customFormat="1" ht="16.5" x14ac:dyDescent="0.25">
      <c r="A16" s="114" t="s">
        <v>152</v>
      </c>
      <c r="B16" s="118" t="s">
        <v>13</v>
      </c>
      <c r="C16" s="91" t="s">
        <v>21</v>
      </c>
      <c r="D16" s="92">
        <v>22</v>
      </c>
      <c r="E16" s="143">
        <v>10</v>
      </c>
      <c r="F16" s="4">
        <f t="shared" si="0"/>
        <v>220</v>
      </c>
    </row>
    <row r="17" spans="1:7" ht="30" x14ac:dyDescent="0.25">
      <c r="A17" s="114" t="s">
        <v>152</v>
      </c>
      <c r="B17" s="107" t="s">
        <v>24</v>
      </c>
      <c r="C17" s="91" t="s">
        <v>22</v>
      </c>
      <c r="D17" s="92">
        <v>1</v>
      </c>
      <c r="E17" s="98">
        <f>ROUND(8.66*1.2619,2)</f>
        <v>10.93</v>
      </c>
      <c r="F17" s="4">
        <f t="shared" si="0"/>
        <v>10.93</v>
      </c>
    </row>
    <row r="18" spans="1:7" ht="15" x14ac:dyDescent="0.25">
      <c r="A18" s="114" t="s">
        <v>152</v>
      </c>
      <c r="B18" s="118" t="s">
        <v>4</v>
      </c>
      <c r="C18" s="91" t="s">
        <v>22</v>
      </c>
      <c r="D18" s="92">
        <v>5</v>
      </c>
      <c r="E18" s="98">
        <f>ROUND(8.36*1.2619,2)</f>
        <v>10.55</v>
      </c>
      <c r="F18" s="4">
        <f t="shared" si="0"/>
        <v>52.75</v>
      </c>
    </row>
    <row r="19" spans="1:7" ht="15" x14ac:dyDescent="0.25">
      <c r="A19" s="114" t="s">
        <v>152</v>
      </c>
      <c r="B19" s="107" t="s">
        <v>5</v>
      </c>
      <c r="C19" s="91" t="s">
        <v>22</v>
      </c>
      <c r="D19" s="92">
        <v>6</v>
      </c>
      <c r="E19" s="98">
        <v>15.15</v>
      </c>
      <c r="F19" s="4">
        <f t="shared" si="0"/>
        <v>90.9</v>
      </c>
    </row>
    <row r="20" spans="1:7" ht="30" x14ac:dyDescent="0.25">
      <c r="A20" s="114" t="s">
        <v>152</v>
      </c>
      <c r="B20" s="107" t="s">
        <v>2</v>
      </c>
      <c r="C20" s="91" t="s">
        <v>26</v>
      </c>
      <c r="D20" s="92">
        <v>1</v>
      </c>
      <c r="E20" s="98">
        <v>6.49</v>
      </c>
      <c r="F20" s="4">
        <f t="shared" si="0"/>
        <v>6.49</v>
      </c>
      <c r="G20" s="45"/>
    </row>
    <row r="21" spans="1:7" ht="15" x14ac:dyDescent="0.25">
      <c r="A21" s="114" t="s">
        <v>289</v>
      </c>
      <c r="B21" s="118" t="s">
        <v>3</v>
      </c>
      <c r="C21" s="91" t="s">
        <v>22</v>
      </c>
      <c r="D21" s="92">
        <v>1</v>
      </c>
      <c r="E21" s="98">
        <f>ROUND(37.34*1.2619,2)</f>
        <v>47.12</v>
      </c>
      <c r="F21" s="4">
        <f t="shared" si="0"/>
        <v>47.12</v>
      </c>
      <c r="G21" s="45"/>
    </row>
    <row r="22" spans="1:7" ht="15" x14ac:dyDescent="0.25">
      <c r="A22" s="94" t="s">
        <v>286</v>
      </c>
      <c r="B22" s="107" t="s">
        <v>288</v>
      </c>
      <c r="C22" s="91" t="s">
        <v>20</v>
      </c>
      <c r="D22" s="92">
        <v>8</v>
      </c>
      <c r="E22" s="98">
        <f>ROUND((5.34/1.309)*1.2619,2)</f>
        <v>5.15</v>
      </c>
      <c r="F22" s="4">
        <f t="shared" si="0"/>
        <v>41.2</v>
      </c>
      <c r="G22" s="45"/>
    </row>
    <row r="23" spans="1:7" ht="15" x14ac:dyDescent="0.25">
      <c r="A23" s="94" t="s">
        <v>287</v>
      </c>
      <c r="B23" s="107" t="s">
        <v>32</v>
      </c>
      <c r="C23" s="91" t="s">
        <v>20</v>
      </c>
      <c r="D23" s="92">
        <v>9</v>
      </c>
      <c r="E23" s="143">
        <f>ROUND((6.33/1.309)*1.2619,2)</f>
        <v>6.1</v>
      </c>
      <c r="F23" s="4">
        <f t="shared" si="0"/>
        <v>54.9</v>
      </c>
      <c r="G23" s="45"/>
    </row>
    <row r="24" spans="1:7" ht="15" x14ac:dyDescent="0.25">
      <c r="A24" s="94"/>
      <c r="B24" s="107"/>
      <c r="C24" s="91"/>
      <c r="D24" s="92"/>
      <c r="E24" s="139"/>
      <c r="F24" s="50"/>
      <c r="G24" s="45"/>
    </row>
    <row r="25" spans="1:7" ht="15" x14ac:dyDescent="0.2">
      <c r="A25" s="6"/>
      <c r="B25" s="5"/>
      <c r="C25" s="25"/>
      <c r="D25" s="217" t="s">
        <v>83</v>
      </c>
      <c r="E25" s="217"/>
      <c r="F25" s="141">
        <f>SUM(F6:F23)</f>
        <v>784.45999999999992</v>
      </c>
    </row>
    <row r="26" spans="1:7" ht="15" x14ac:dyDescent="0.2">
      <c r="A26" s="6"/>
      <c r="B26" s="5"/>
      <c r="C26" s="25"/>
      <c r="D26" s="3"/>
      <c r="E26" s="4"/>
    </row>
    <row r="27" spans="1:7" ht="15" x14ac:dyDescent="0.25">
      <c r="A27" s="7"/>
      <c r="B27" s="5"/>
      <c r="C27" s="25"/>
      <c r="D27" s="3"/>
      <c r="E27" s="4"/>
    </row>
    <row r="28" spans="1:7" ht="15" x14ac:dyDescent="0.2">
      <c r="A28" s="6"/>
      <c r="B28" s="5"/>
      <c r="C28" s="25"/>
      <c r="D28" s="3"/>
      <c r="E28" s="4"/>
    </row>
    <row r="29" spans="1:7" ht="16.5" x14ac:dyDescent="0.2">
      <c r="A29" s="33"/>
      <c r="B29" s="32"/>
      <c r="C29" s="30"/>
      <c r="D29" s="33"/>
      <c r="E29" s="34"/>
    </row>
    <row r="30" spans="1:7" ht="16.5" x14ac:dyDescent="0.25">
      <c r="A30" s="28"/>
      <c r="B30" s="29"/>
      <c r="C30" s="37"/>
      <c r="D30" s="28"/>
      <c r="E30" s="31"/>
    </row>
    <row r="31" spans="1:7" ht="16.5" x14ac:dyDescent="0.25">
      <c r="A31" s="28"/>
      <c r="B31" s="29"/>
      <c r="C31" s="37"/>
      <c r="D31" s="28"/>
      <c r="E31" s="31"/>
    </row>
    <row r="32" spans="1:7" ht="16.5" x14ac:dyDescent="0.25">
      <c r="A32" s="28"/>
      <c r="B32" s="29"/>
      <c r="C32" s="37"/>
      <c r="D32" s="28"/>
      <c r="E32" s="31"/>
    </row>
    <row r="33" spans="1:5" ht="16.5" x14ac:dyDescent="0.25">
      <c r="A33" s="28"/>
      <c r="B33" s="29"/>
      <c r="C33" s="37"/>
      <c r="D33" s="28"/>
      <c r="E33" s="31"/>
    </row>
    <row r="34" spans="1:5" ht="16.5" x14ac:dyDescent="0.25">
      <c r="A34" s="28"/>
      <c r="B34" s="29"/>
      <c r="C34" s="37"/>
      <c r="D34" s="28"/>
      <c r="E34" s="31"/>
    </row>
    <row r="35" spans="1:5" ht="16.5" x14ac:dyDescent="0.25">
      <c r="A35" s="28"/>
      <c r="B35" s="29"/>
      <c r="C35" s="37"/>
      <c r="D35" s="28"/>
      <c r="E35" s="31"/>
    </row>
    <row r="36" spans="1:5" ht="16.5" x14ac:dyDescent="0.2">
      <c r="A36" s="33"/>
      <c r="B36" s="32"/>
      <c r="C36" s="40"/>
      <c r="D36" s="33"/>
      <c r="E36" s="34"/>
    </row>
    <row r="37" spans="1:5" ht="16.5" x14ac:dyDescent="0.25">
      <c r="A37" s="33"/>
      <c r="B37" s="29"/>
      <c r="C37" s="37"/>
      <c r="D37" s="28"/>
      <c r="E37" s="31"/>
    </row>
    <row r="38" spans="1:5" ht="16.5" x14ac:dyDescent="0.25">
      <c r="A38" s="33"/>
      <c r="B38" s="29"/>
      <c r="C38" s="37"/>
      <c r="D38" s="28"/>
      <c r="E38" s="31"/>
    </row>
    <row r="39" spans="1:5" ht="16.5" x14ac:dyDescent="0.25">
      <c r="A39" s="33"/>
      <c r="B39" s="29"/>
      <c r="C39" s="37"/>
      <c r="D39" s="28"/>
      <c r="E39" s="31"/>
    </row>
    <row r="40" spans="1:5" ht="16.5" x14ac:dyDescent="0.25">
      <c r="A40" s="33"/>
      <c r="B40" s="29"/>
      <c r="C40" s="37"/>
      <c r="D40" s="28"/>
      <c r="E40" s="31"/>
    </row>
    <row r="41" spans="1:5" ht="16.5" x14ac:dyDescent="0.25">
      <c r="A41" s="33"/>
      <c r="B41" s="29"/>
      <c r="C41" s="37"/>
      <c r="D41" s="28"/>
      <c r="E41" s="31"/>
    </row>
    <row r="42" spans="1:5" ht="16.5" x14ac:dyDescent="0.25">
      <c r="A42" s="28"/>
      <c r="B42" s="29"/>
      <c r="C42" s="37"/>
      <c r="D42" s="28"/>
      <c r="E42" s="31"/>
    </row>
    <row r="43" spans="1:5" ht="16.5" x14ac:dyDescent="0.2">
      <c r="A43" s="33"/>
      <c r="B43" s="32"/>
      <c r="C43" s="30"/>
      <c r="D43" s="33"/>
      <c r="E43" s="34"/>
    </row>
    <row r="44" spans="1:5" ht="16.5" x14ac:dyDescent="0.2">
      <c r="A44" s="33"/>
      <c r="B44" s="32"/>
      <c r="C44" s="30"/>
      <c r="D44" s="33"/>
      <c r="E44" s="34"/>
    </row>
    <row r="45" spans="1:5" ht="16.5" x14ac:dyDescent="0.2">
      <c r="A45" s="33"/>
      <c r="B45" s="32"/>
      <c r="C45" s="30"/>
      <c r="D45" s="33"/>
      <c r="E45" s="34"/>
    </row>
    <row r="46" spans="1:5" ht="16.5" x14ac:dyDescent="0.2">
      <c r="A46" s="33"/>
      <c r="B46" s="32"/>
      <c r="C46" s="30"/>
      <c r="D46" s="33"/>
      <c r="E46" s="34"/>
    </row>
    <row r="47" spans="1:5" ht="16.5" x14ac:dyDescent="0.2">
      <c r="A47" s="33"/>
      <c r="B47" s="32"/>
      <c r="C47" s="30"/>
      <c r="D47" s="33"/>
      <c r="E47" s="34"/>
    </row>
    <row r="48" spans="1:5" ht="16.5" x14ac:dyDescent="0.2">
      <c r="A48" s="33"/>
      <c r="B48" s="32"/>
      <c r="C48" s="30"/>
      <c r="D48" s="33"/>
      <c r="E48" s="34"/>
    </row>
    <row r="49" spans="1:5" ht="16.5" x14ac:dyDescent="0.2">
      <c r="A49" s="33"/>
      <c r="B49" s="32"/>
      <c r="C49" s="30"/>
      <c r="D49" s="33"/>
      <c r="E49" s="34"/>
    </row>
    <row r="50" spans="1:5" ht="16.5" x14ac:dyDescent="0.25">
      <c r="A50" s="33"/>
      <c r="B50" s="32"/>
      <c r="C50" s="30"/>
      <c r="D50" s="28"/>
      <c r="E50" s="38"/>
    </row>
    <row r="51" spans="1:5" ht="16.5" x14ac:dyDescent="0.25">
      <c r="A51" s="33"/>
      <c r="B51" s="32"/>
      <c r="C51" s="30"/>
      <c r="D51" s="28"/>
      <c r="E51" s="38"/>
    </row>
    <row r="52" spans="1:5" ht="16.5" x14ac:dyDescent="0.2">
      <c r="A52" s="33"/>
      <c r="B52" s="32"/>
      <c r="C52" s="30"/>
      <c r="D52" s="33"/>
      <c r="E52" s="34"/>
    </row>
    <row r="53" spans="1:5" ht="16.5" x14ac:dyDescent="0.25">
      <c r="A53" s="33"/>
      <c r="B53" s="32"/>
      <c r="C53" s="30"/>
      <c r="D53" s="28"/>
      <c r="E53" s="38"/>
    </row>
    <row r="54" spans="1:5" ht="16.5" x14ac:dyDescent="0.25">
      <c r="A54" s="28"/>
      <c r="B54" s="29"/>
      <c r="C54" s="37"/>
      <c r="D54" s="28"/>
      <c r="E54" s="31"/>
    </row>
    <row r="55" spans="1:5" ht="16.5" x14ac:dyDescent="0.25">
      <c r="A55" s="28"/>
      <c r="B55" s="29"/>
      <c r="C55" s="37"/>
      <c r="D55" s="28"/>
      <c r="E55" s="31"/>
    </row>
    <row r="56" spans="1:5" ht="16.5" x14ac:dyDescent="0.25">
      <c r="A56" s="28"/>
      <c r="B56" s="29"/>
      <c r="C56" s="37"/>
      <c r="D56" s="28"/>
      <c r="E56" s="31"/>
    </row>
    <row r="57" spans="1:5" ht="16.5" x14ac:dyDescent="0.25">
      <c r="A57" s="28"/>
      <c r="B57" s="29"/>
      <c r="C57" s="37"/>
      <c r="D57" s="28"/>
      <c r="E57" s="31"/>
    </row>
    <row r="58" spans="1:5" ht="16.5" x14ac:dyDescent="0.25">
      <c r="A58" s="28"/>
      <c r="B58" s="29"/>
      <c r="C58" s="37"/>
      <c r="D58" s="28"/>
      <c r="E58" s="31"/>
    </row>
    <row r="59" spans="1:5" ht="16.5" x14ac:dyDescent="0.25">
      <c r="A59" s="28"/>
      <c r="B59" s="29"/>
      <c r="C59" s="37"/>
      <c r="D59" s="28"/>
      <c r="E59" s="31"/>
    </row>
    <row r="60" spans="1:5" ht="16.5" x14ac:dyDescent="0.25">
      <c r="A60" s="33"/>
      <c r="B60" s="32"/>
      <c r="C60" s="30"/>
      <c r="D60" s="28"/>
      <c r="E60" s="31"/>
    </row>
    <row r="61" spans="1:5" ht="16.5" x14ac:dyDescent="0.25">
      <c r="A61" s="28"/>
      <c r="B61" s="29"/>
      <c r="C61" s="37"/>
      <c r="D61" s="28"/>
      <c r="E61" s="31"/>
    </row>
    <row r="62" spans="1:5" ht="16.5" x14ac:dyDescent="0.25">
      <c r="A62" s="28"/>
      <c r="B62" s="29"/>
      <c r="C62" s="37"/>
      <c r="D62" s="28"/>
      <c r="E62" s="31"/>
    </row>
    <row r="63" spans="1:5" ht="16.5" x14ac:dyDescent="0.25">
      <c r="A63" s="28"/>
      <c r="B63" s="29"/>
      <c r="C63" s="37"/>
      <c r="D63" s="28"/>
      <c r="E63" s="31"/>
    </row>
    <row r="64" spans="1:5" ht="16.5" x14ac:dyDescent="0.25">
      <c r="A64" s="28"/>
      <c r="B64" s="29"/>
      <c r="C64" s="37"/>
      <c r="D64" s="28"/>
      <c r="E64" s="31"/>
    </row>
    <row r="65" spans="1:5" ht="16.5" x14ac:dyDescent="0.25">
      <c r="A65" s="28"/>
      <c r="B65" s="29"/>
      <c r="C65" s="37"/>
      <c r="D65" s="28"/>
      <c r="E65" s="31"/>
    </row>
    <row r="66" spans="1:5" ht="16.5" x14ac:dyDescent="0.25">
      <c r="A66" s="28"/>
      <c r="B66" s="29"/>
      <c r="C66" s="37"/>
      <c r="D66" s="28"/>
      <c r="E66" s="31"/>
    </row>
    <row r="67" spans="1:5" ht="16.5" x14ac:dyDescent="0.25">
      <c r="A67" s="28"/>
      <c r="B67" s="29"/>
      <c r="C67" s="37"/>
      <c r="D67" s="28"/>
      <c r="E67" s="31"/>
    </row>
    <row r="68" spans="1:5" ht="16.5" x14ac:dyDescent="0.25">
      <c r="A68" s="33"/>
      <c r="B68" s="32"/>
      <c r="C68" s="41"/>
      <c r="D68" s="28"/>
      <c r="E68" s="31"/>
    </row>
    <row r="69" spans="1:5" ht="16.5" customHeight="1" x14ac:dyDescent="0.25">
      <c r="A69" s="28"/>
      <c r="B69" s="29"/>
      <c r="C69" s="37"/>
      <c r="D69" s="28"/>
      <c r="E69" s="31"/>
    </row>
    <row r="70" spans="1:5" ht="16.5" customHeight="1" x14ac:dyDescent="0.2">
      <c r="A70" s="33"/>
      <c r="B70" s="32"/>
      <c r="C70" s="36"/>
      <c r="D70" s="33"/>
      <c r="E70" s="34"/>
    </row>
    <row r="71" spans="1:5" ht="16.5" customHeight="1" x14ac:dyDescent="0.2">
      <c r="A71" s="33"/>
      <c r="B71" s="32"/>
      <c r="C71" s="36"/>
      <c r="D71" s="33"/>
      <c r="E71" s="34"/>
    </row>
    <row r="72" spans="1:5" ht="16.5" customHeight="1" x14ac:dyDescent="0.2">
      <c r="A72" s="33"/>
      <c r="B72" s="32"/>
      <c r="C72" s="30"/>
      <c r="D72" s="33"/>
      <c r="E72" s="34"/>
    </row>
    <row r="73" spans="1:5" ht="16.5" customHeight="1" x14ac:dyDescent="0.2">
      <c r="A73" s="33"/>
      <c r="B73" s="32"/>
      <c r="C73" s="30"/>
      <c r="D73" s="33"/>
      <c r="E73" s="34"/>
    </row>
    <row r="74" spans="1:5" ht="16.5" customHeight="1" x14ac:dyDescent="0.2">
      <c r="A74" s="33"/>
      <c r="B74" s="32"/>
      <c r="C74" s="30"/>
      <c r="D74" s="33"/>
      <c r="E74" s="34"/>
    </row>
    <row r="75" spans="1:5" ht="16.5" customHeight="1" x14ac:dyDescent="0.2">
      <c r="A75" s="33"/>
      <c r="B75" s="32"/>
      <c r="C75" s="30"/>
      <c r="D75" s="33"/>
      <c r="E75" s="34"/>
    </row>
    <row r="76" spans="1:5" ht="16.5" customHeight="1" x14ac:dyDescent="0.2">
      <c r="A76" s="33"/>
      <c r="B76" s="32"/>
      <c r="C76" s="30"/>
      <c r="D76" s="33"/>
      <c r="E76" s="34"/>
    </row>
    <row r="77" spans="1:5" ht="16.5" customHeight="1" x14ac:dyDescent="0.2">
      <c r="A77" s="33"/>
      <c r="B77" s="32"/>
      <c r="C77" s="30"/>
      <c r="D77" s="33"/>
      <c r="E77" s="34"/>
    </row>
    <row r="78" spans="1:5" ht="16.5" x14ac:dyDescent="0.2">
      <c r="A78" s="10"/>
      <c r="B78" s="11"/>
      <c r="C78" s="19"/>
      <c r="D78" s="10"/>
      <c r="E78" s="16"/>
    </row>
    <row r="79" spans="1:5" ht="16.5" x14ac:dyDescent="0.2">
      <c r="A79" s="10"/>
      <c r="B79" s="215"/>
      <c r="C79" s="215"/>
      <c r="D79" s="215"/>
      <c r="E79" s="16"/>
    </row>
    <row r="80" spans="1:5" ht="15" x14ac:dyDescent="0.2">
      <c r="A80" s="6"/>
      <c r="B80" s="5"/>
      <c r="C80" s="24"/>
      <c r="D80" s="3"/>
      <c r="E80" s="4"/>
    </row>
  </sheetData>
  <mergeCells count="4">
    <mergeCell ref="B79:D79"/>
    <mergeCell ref="B3:F3"/>
    <mergeCell ref="D25:E25"/>
    <mergeCell ref="A1:F1"/>
  </mergeCells>
  <phoneticPr fontId="0" type="noConversion"/>
  <printOptions horizontalCentered="1"/>
  <pageMargins left="0.19685039370078741" right="0.11811023622047245" top="0.35433070866141736" bottom="0.39370078740157483" header="0" footer="0"/>
  <pageSetup paperSize="9" scale="85" orientation="portrait" r:id="rId1"/>
  <headerFooter alignWithMargins="0">
    <oddHeader>&amp;L&amp;"Arial,Itálico"&amp;11HISTÓRICOS ORÇAMENTÁRIOS</oddHeader>
    <oddFooter>&amp;RPágina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87" zoomScaleNormal="87" workbookViewId="0">
      <selection activeCell="A4" sqref="A4"/>
    </sheetView>
  </sheetViews>
  <sheetFormatPr defaultRowHeight="12.75" x14ac:dyDescent="0.2"/>
  <cols>
    <col min="1" max="1" width="11.85546875" customWidth="1"/>
    <col min="2" max="2" width="43.28515625" customWidth="1"/>
    <col min="3" max="3" width="8.28515625" customWidth="1"/>
    <col min="6" max="6" width="14" customWidth="1"/>
  </cols>
  <sheetData>
    <row r="1" spans="1:9" ht="18.75" x14ac:dyDescent="0.2">
      <c r="A1" s="214" t="s">
        <v>296</v>
      </c>
      <c r="B1" s="214"/>
      <c r="C1" s="214"/>
      <c r="D1" s="214"/>
      <c r="E1" s="214"/>
      <c r="F1" s="214"/>
    </row>
    <row r="2" spans="1:9" ht="15" x14ac:dyDescent="0.25">
      <c r="A2" s="133"/>
      <c r="B2" s="88"/>
      <c r="C2" s="2"/>
      <c r="D2" s="2"/>
      <c r="E2" s="2"/>
      <c r="F2" s="2"/>
    </row>
    <row r="3" spans="1:9" ht="15" x14ac:dyDescent="0.2">
      <c r="A3" s="119" t="s">
        <v>505</v>
      </c>
      <c r="B3" s="213" t="s">
        <v>293</v>
      </c>
      <c r="C3" s="213"/>
      <c r="D3" s="213"/>
      <c r="E3" s="213"/>
      <c r="F3" s="213"/>
    </row>
    <row r="4" spans="1:9" ht="15" x14ac:dyDescent="0.25">
      <c r="A4" s="2"/>
      <c r="B4" s="88"/>
      <c r="C4" s="2"/>
      <c r="D4" s="2"/>
      <c r="E4" s="2"/>
      <c r="F4" s="2"/>
    </row>
    <row r="5" spans="1:9" ht="14.25" x14ac:dyDescent="0.2">
      <c r="A5" s="52" t="s">
        <v>27</v>
      </c>
      <c r="B5" s="53" t="s">
        <v>28</v>
      </c>
      <c r="C5" s="53" t="s">
        <v>29</v>
      </c>
      <c r="D5" s="53" t="s">
        <v>30</v>
      </c>
      <c r="E5" s="53" t="s">
        <v>82</v>
      </c>
      <c r="F5" s="53" t="s">
        <v>83</v>
      </c>
    </row>
    <row r="6" spans="1:9" ht="30" x14ac:dyDescent="0.25">
      <c r="A6" s="134" t="s">
        <v>152</v>
      </c>
      <c r="B6" s="124" t="s">
        <v>297</v>
      </c>
      <c r="C6" s="117" t="s">
        <v>294</v>
      </c>
      <c r="D6" s="135">
        <v>2</v>
      </c>
      <c r="E6" s="103">
        <v>127.92</v>
      </c>
      <c r="F6" s="105">
        <f>ROUND(D6*E6,2)</f>
        <v>255.84</v>
      </c>
      <c r="H6" s="166"/>
      <c r="I6" s="144"/>
    </row>
    <row r="7" spans="1:9" ht="33.75" customHeight="1" x14ac:dyDescent="0.2">
      <c r="A7" s="134" t="s">
        <v>315</v>
      </c>
      <c r="B7" s="124" t="s">
        <v>316</v>
      </c>
      <c r="C7" s="135" t="s">
        <v>294</v>
      </c>
      <c r="D7" s="135">
        <v>2</v>
      </c>
      <c r="E7" s="103">
        <f>ROUND(115.47*1.2619,2)</f>
        <v>145.71</v>
      </c>
      <c r="F7" s="105">
        <f t="shared" ref="F7:F21" si="0">ROUND(D7*E7,2)</f>
        <v>291.42</v>
      </c>
      <c r="H7" s="145"/>
      <c r="I7" s="157"/>
    </row>
    <row r="8" spans="1:9" ht="15" x14ac:dyDescent="0.2">
      <c r="A8" s="134" t="s">
        <v>152</v>
      </c>
      <c r="B8" s="124" t="s">
        <v>298</v>
      </c>
      <c r="C8" s="135" t="s">
        <v>294</v>
      </c>
      <c r="D8" s="135">
        <v>4</v>
      </c>
      <c r="E8" s="105">
        <v>150</v>
      </c>
      <c r="F8" s="105">
        <f t="shared" si="0"/>
        <v>600</v>
      </c>
      <c r="H8" s="166"/>
      <c r="I8" s="144"/>
    </row>
    <row r="9" spans="1:9" ht="45" x14ac:dyDescent="0.2">
      <c r="A9" s="5" t="s">
        <v>219</v>
      </c>
      <c r="B9" s="124" t="s">
        <v>239</v>
      </c>
      <c r="C9" s="135" t="s">
        <v>294</v>
      </c>
      <c r="D9" s="135">
        <v>2</v>
      </c>
      <c r="E9" s="103">
        <f>ROUND(77.93*1.2619,2)</f>
        <v>98.34</v>
      </c>
      <c r="F9" s="105">
        <f t="shared" si="0"/>
        <v>196.68</v>
      </c>
      <c r="H9" s="145"/>
      <c r="I9" s="157"/>
    </row>
    <row r="10" spans="1:9" ht="15" x14ac:dyDescent="0.2">
      <c r="A10" s="134" t="s">
        <v>152</v>
      </c>
      <c r="B10" s="124" t="s">
        <v>299</v>
      </c>
      <c r="C10" s="135" t="s">
        <v>294</v>
      </c>
      <c r="D10" s="135">
        <v>1</v>
      </c>
      <c r="E10" s="103">
        <v>160.65</v>
      </c>
      <c r="F10" s="105">
        <f t="shared" si="0"/>
        <v>160.65</v>
      </c>
      <c r="H10" s="166"/>
      <c r="I10" s="144"/>
    </row>
    <row r="11" spans="1:9" ht="29.25" customHeight="1" x14ac:dyDescent="0.2">
      <c r="A11" s="134" t="s">
        <v>152</v>
      </c>
      <c r="B11" s="124" t="s">
        <v>300</v>
      </c>
      <c r="C11" s="135" t="s">
        <v>294</v>
      </c>
      <c r="D11" s="135">
        <v>2</v>
      </c>
      <c r="E11" s="105">
        <v>588</v>
      </c>
      <c r="F11" s="105">
        <f t="shared" si="0"/>
        <v>1176</v>
      </c>
      <c r="H11" s="166"/>
      <c r="I11" s="144"/>
    </row>
    <row r="12" spans="1:9" ht="47.25" customHeight="1" x14ac:dyDescent="0.2">
      <c r="A12" s="134" t="s">
        <v>152</v>
      </c>
      <c r="B12" s="124" t="s">
        <v>301</v>
      </c>
      <c r="C12" s="135" t="s">
        <v>294</v>
      </c>
      <c r="D12" s="135">
        <v>1</v>
      </c>
      <c r="E12" s="103">
        <v>1937.25</v>
      </c>
      <c r="F12" s="105">
        <f t="shared" si="0"/>
        <v>1937.25</v>
      </c>
      <c r="H12" s="166"/>
      <c r="I12" s="144"/>
    </row>
    <row r="13" spans="1:9" ht="27.75" customHeight="1" x14ac:dyDescent="0.2">
      <c r="A13" s="134" t="s">
        <v>152</v>
      </c>
      <c r="B13" s="124" t="s">
        <v>302</v>
      </c>
      <c r="C13" s="135" t="s">
        <v>294</v>
      </c>
      <c r="D13" s="135">
        <v>2</v>
      </c>
      <c r="E13" s="105">
        <v>292</v>
      </c>
      <c r="F13" s="105">
        <f t="shared" si="0"/>
        <v>584</v>
      </c>
      <c r="H13" s="166"/>
      <c r="I13" s="144"/>
    </row>
    <row r="14" spans="1:9" ht="19.5" customHeight="1" x14ac:dyDescent="0.2">
      <c r="A14" s="134" t="s">
        <v>152</v>
      </c>
      <c r="B14" s="124" t="s">
        <v>303</v>
      </c>
      <c r="C14" s="135" t="s">
        <v>294</v>
      </c>
      <c r="D14" s="135">
        <v>2</v>
      </c>
      <c r="E14" s="105">
        <v>564</v>
      </c>
      <c r="F14" s="105">
        <f t="shared" si="0"/>
        <v>1128</v>
      </c>
      <c r="H14" s="166"/>
      <c r="I14" s="144"/>
    </row>
    <row r="15" spans="1:9" ht="30" customHeight="1" x14ac:dyDescent="0.2">
      <c r="A15" s="134" t="s">
        <v>152</v>
      </c>
      <c r="B15" s="124" t="s">
        <v>304</v>
      </c>
      <c r="C15" s="135" t="s">
        <v>294</v>
      </c>
      <c r="D15" s="135">
        <v>1</v>
      </c>
      <c r="E15" s="105">
        <v>115</v>
      </c>
      <c r="F15" s="105">
        <f t="shared" si="0"/>
        <v>115</v>
      </c>
      <c r="H15" s="166"/>
      <c r="I15" s="144"/>
    </row>
    <row r="16" spans="1:9" ht="30" x14ac:dyDescent="0.2">
      <c r="A16" s="134" t="s">
        <v>152</v>
      </c>
      <c r="B16" s="124" t="s">
        <v>305</v>
      </c>
      <c r="C16" s="135" t="s">
        <v>294</v>
      </c>
      <c r="D16" s="135">
        <v>1</v>
      </c>
      <c r="E16" s="103">
        <v>135.44999999999999</v>
      </c>
      <c r="F16" s="105">
        <f t="shared" si="0"/>
        <v>135.44999999999999</v>
      </c>
      <c r="H16" s="166"/>
      <c r="I16" s="144"/>
    </row>
    <row r="17" spans="1:9" ht="30" x14ac:dyDescent="0.2">
      <c r="A17" s="94" t="s">
        <v>88</v>
      </c>
      <c r="B17" s="109" t="s">
        <v>89</v>
      </c>
      <c r="C17" s="91" t="s">
        <v>12</v>
      </c>
      <c r="D17" s="135">
        <v>18.399999999999999</v>
      </c>
      <c r="E17" s="91">
        <v>54.41</v>
      </c>
      <c r="F17" s="105">
        <f>ROUND(D17*E17,2)</f>
        <v>1001.14</v>
      </c>
      <c r="H17" s="145"/>
      <c r="I17" s="144"/>
    </row>
    <row r="18" spans="1:9" ht="30" x14ac:dyDescent="0.2">
      <c r="A18" s="5" t="s">
        <v>86</v>
      </c>
      <c r="B18" s="124" t="s">
        <v>97</v>
      </c>
      <c r="C18" s="103" t="s">
        <v>12</v>
      </c>
      <c r="D18" s="135">
        <v>1.26</v>
      </c>
      <c r="E18" s="105">
        <v>492.8</v>
      </c>
      <c r="F18" s="105">
        <f>ROUND(D18*E18,2)</f>
        <v>620.92999999999995</v>
      </c>
      <c r="H18" s="145"/>
      <c r="I18" s="144"/>
    </row>
    <row r="19" spans="1:9" ht="30" x14ac:dyDescent="0.2">
      <c r="A19" s="5" t="s">
        <v>313</v>
      </c>
      <c r="B19" s="136" t="s">
        <v>312</v>
      </c>
      <c r="C19" s="103" t="s">
        <v>12</v>
      </c>
      <c r="D19" s="135">
        <v>5.4</v>
      </c>
      <c r="E19" s="103">
        <v>80.56</v>
      </c>
      <c r="F19" s="105">
        <f>ROUND(D19*E19,2)</f>
        <v>435.02</v>
      </c>
      <c r="H19" s="145"/>
      <c r="I19" s="144"/>
    </row>
    <row r="20" spans="1:9" ht="15" x14ac:dyDescent="0.2">
      <c r="A20" s="5" t="s">
        <v>128</v>
      </c>
      <c r="B20" s="136" t="s">
        <v>84</v>
      </c>
      <c r="C20" s="103" t="s">
        <v>292</v>
      </c>
      <c r="D20" s="135">
        <v>63</v>
      </c>
      <c r="E20" s="103">
        <v>9.94</v>
      </c>
      <c r="F20" s="105">
        <f>ROUND(D20*E20,2)</f>
        <v>626.22</v>
      </c>
      <c r="H20" s="145"/>
      <c r="I20" s="144"/>
    </row>
    <row r="21" spans="1:9" ht="15" x14ac:dyDescent="0.2">
      <c r="A21" s="5" t="s">
        <v>314</v>
      </c>
      <c r="B21" s="136" t="s">
        <v>291</v>
      </c>
      <c r="C21" s="103" t="s">
        <v>20</v>
      </c>
      <c r="D21" s="135">
        <v>16</v>
      </c>
      <c r="E21" s="103">
        <f>ROUND(8.81*1.2619,2)</f>
        <v>11.12</v>
      </c>
      <c r="F21" s="105">
        <f t="shared" si="0"/>
        <v>177.92</v>
      </c>
      <c r="H21" s="146"/>
      <c r="I21" s="144"/>
    </row>
    <row r="22" spans="1:9" ht="30" x14ac:dyDescent="0.2">
      <c r="A22" s="5" t="s">
        <v>145</v>
      </c>
      <c r="B22" s="136" t="s">
        <v>148</v>
      </c>
      <c r="C22" s="103" t="s">
        <v>20</v>
      </c>
      <c r="D22" s="135">
        <v>24</v>
      </c>
      <c r="E22" s="103">
        <f>ROUND(10.23*1.2619,2)</f>
        <v>12.91</v>
      </c>
      <c r="F22" s="105">
        <f>ROUND(D22*E22,2)</f>
        <v>309.83999999999997</v>
      </c>
    </row>
    <row r="23" spans="1:9" ht="15" x14ac:dyDescent="0.25">
      <c r="A23" s="98"/>
      <c r="B23" s="88"/>
      <c r="C23" s="2"/>
      <c r="D23" s="98"/>
      <c r="E23" s="137"/>
      <c r="F23" s="2"/>
    </row>
    <row r="24" spans="1:9" ht="15" x14ac:dyDescent="0.25">
      <c r="A24" s="98"/>
      <c r="B24" s="88"/>
      <c r="C24" s="2"/>
      <c r="D24" s="98"/>
      <c r="E24" s="57" t="s">
        <v>83</v>
      </c>
      <c r="F24" s="138">
        <f>SUM(F6:F22)</f>
        <v>9751.36</v>
      </c>
    </row>
  </sheetData>
  <mergeCells count="2">
    <mergeCell ref="A1:F1"/>
    <mergeCell ref="B3:F3"/>
  </mergeCells>
  <pageMargins left="0.51181102362204722" right="0.51181102362204722" top="0.78740157480314965" bottom="0.78740157480314965" header="0.31496062992125984" footer="0.31496062992125984"/>
  <pageSetup paperSize="9" scale="9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5"/>
  <dimension ref="A1:G41"/>
  <sheetViews>
    <sheetView showGridLines="0" view="pageBreakPreview" zoomScale="89" zoomScaleNormal="75" zoomScaleSheetLayoutView="89" workbookViewId="0">
      <selection activeCell="B19" sqref="B19"/>
    </sheetView>
  </sheetViews>
  <sheetFormatPr defaultRowHeight="12.75" x14ac:dyDescent="0.2"/>
  <cols>
    <col min="1" max="1" width="12.5703125" customWidth="1"/>
    <col min="2" max="2" width="50.42578125" customWidth="1"/>
    <col min="3" max="3" width="9.140625" customWidth="1"/>
    <col min="4" max="4" width="9.42578125" customWidth="1"/>
    <col min="5" max="5" width="10.85546875" customWidth="1"/>
    <col min="6" max="6" width="11.5703125" customWidth="1"/>
    <col min="7" max="7" width="11.42578125" customWidth="1"/>
  </cols>
  <sheetData>
    <row r="1" spans="1:7" s="1" customFormat="1" ht="18.75" customHeight="1" x14ac:dyDescent="0.2">
      <c r="A1" s="214" t="s">
        <v>14</v>
      </c>
      <c r="B1" s="214"/>
      <c r="C1" s="214"/>
      <c r="D1" s="214"/>
      <c r="E1" s="214"/>
    </row>
    <row r="2" spans="1:7" s="1" customFormat="1" ht="15" customHeight="1" x14ac:dyDescent="0.2">
      <c r="C2" s="23"/>
      <c r="D2" s="27"/>
    </row>
    <row r="3" spans="1:7" s="1" customFormat="1" ht="37.5" customHeight="1" x14ac:dyDescent="0.2">
      <c r="A3" s="53" t="s">
        <v>266</v>
      </c>
      <c r="B3" s="213" t="s">
        <v>267</v>
      </c>
      <c r="C3" s="213"/>
      <c r="D3" s="213"/>
      <c r="E3" s="213"/>
      <c r="F3" s="213"/>
      <c r="G3" s="120"/>
    </row>
    <row r="4" spans="1:7" ht="15" x14ac:dyDescent="0.2">
      <c r="A4" s="213"/>
      <c r="B4" s="213"/>
      <c r="C4" s="213"/>
      <c r="D4" s="213"/>
      <c r="E4" s="213"/>
      <c r="F4" s="213"/>
      <c r="G4" s="213"/>
    </row>
    <row r="5" spans="1:7" s="1" customFormat="1" ht="16.5" customHeight="1" x14ac:dyDescent="0.2">
      <c r="A5" s="52" t="s">
        <v>27</v>
      </c>
      <c r="B5" s="84" t="s">
        <v>28</v>
      </c>
      <c r="C5" s="53" t="s">
        <v>29</v>
      </c>
      <c r="D5" s="53" t="s">
        <v>30</v>
      </c>
      <c r="E5" s="53" t="s">
        <v>82</v>
      </c>
      <c r="F5" s="53" t="s">
        <v>83</v>
      </c>
      <c r="G5" s="120"/>
    </row>
    <row r="6" spans="1:7" ht="37.5" customHeight="1" x14ac:dyDescent="0.2">
      <c r="A6" s="5" t="s">
        <v>111</v>
      </c>
      <c r="B6" s="104" t="s">
        <v>112</v>
      </c>
      <c r="C6" s="91" t="s">
        <v>22</v>
      </c>
      <c r="D6" s="122">
        <v>1</v>
      </c>
      <c r="E6" s="103">
        <f>ROUND(13.97*1.2619,2)</f>
        <v>17.63</v>
      </c>
      <c r="F6" s="103">
        <f t="shared" ref="F6:F13" si="0">ROUND(D6*E6,2)</f>
        <v>17.63</v>
      </c>
      <c r="G6" s="87"/>
    </row>
    <row r="7" spans="1:7" ht="30" x14ac:dyDescent="0.2">
      <c r="A7" s="5" t="s">
        <v>210</v>
      </c>
      <c r="B7" s="104" t="s">
        <v>230</v>
      </c>
      <c r="C7" s="91" t="s">
        <v>22</v>
      </c>
      <c r="D7" s="122">
        <v>1</v>
      </c>
      <c r="E7" s="103">
        <f>ROUND(32.61*1.2619,2)</f>
        <v>41.15</v>
      </c>
      <c r="F7" s="103">
        <f t="shared" si="0"/>
        <v>41.15</v>
      </c>
      <c r="G7" s="87"/>
    </row>
    <row r="8" spans="1:7" ht="30" x14ac:dyDescent="0.2">
      <c r="A8" s="5" t="s">
        <v>211</v>
      </c>
      <c r="B8" s="104" t="s">
        <v>231</v>
      </c>
      <c r="C8" s="91" t="s">
        <v>22</v>
      </c>
      <c r="D8" s="122">
        <v>1</v>
      </c>
      <c r="E8" s="103">
        <f>ROUND(53.13*1.2619,2)</f>
        <v>67.040000000000006</v>
      </c>
      <c r="F8" s="103">
        <f t="shared" si="0"/>
        <v>67.040000000000006</v>
      </c>
      <c r="G8" s="87"/>
    </row>
    <row r="9" spans="1:7" ht="30" x14ac:dyDescent="0.2">
      <c r="A9" s="5" t="s">
        <v>212</v>
      </c>
      <c r="B9" s="104" t="s">
        <v>232</v>
      </c>
      <c r="C9" s="91" t="s">
        <v>22</v>
      </c>
      <c r="D9" s="122">
        <v>1</v>
      </c>
      <c r="E9" s="103">
        <f>ROUND(89.83*1.2619,2)</f>
        <v>113.36</v>
      </c>
      <c r="F9" s="103">
        <f t="shared" si="0"/>
        <v>113.36</v>
      </c>
      <c r="G9" s="87"/>
    </row>
    <row r="10" spans="1:7" ht="30" x14ac:dyDescent="0.2">
      <c r="A10" s="5" t="s">
        <v>213</v>
      </c>
      <c r="B10" s="104" t="s">
        <v>233</v>
      </c>
      <c r="C10" s="91" t="s">
        <v>22</v>
      </c>
      <c r="D10" s="122">
        <v>1</v>
      </c>
      <c r="E10" s="103">
        <f>ROUND(13.07*1.2619,2)</f>
        <v>16.489999999999998</v>
      </c>
      <c r="F10" s="103">
        <f t="shared" si="0"/>
        <v>16.489999999999998</v>
      </c>
      <c r="G10" s="87"/>
    </row>
    <row r="11" spans="1:7" ht="30" x14ac:dyDescent="0.2">
      <c r="A11" s="5" t="s">
        <v>214</v>
      </c>
      <c r="B11" s="104" t="s">
        <v>234</v>
      </c>
      <c r="C11" s="91" t="s">
        <v>22</v>
      </c>
      <c r="D11" s="122">
        <v>1</v>
      </c>
      <c r="E11" s="103">
        <f>ROUND(28.78*1.2619,2)</f>
        <v>36.32</v>
      </c>
      <c r="F11" s="103">
        <f t="shared" si="0"/>
        <v>36.32</v>
      </c>
      <c r="G11" s="87"/>
    </row>
    <row r="12" spans="1:7" ht="45" x14ac:dyDescent="0.2">
      <c r="A12" s="5" t="s">
        <v>215</v>
      </c>
      <c r="B12" s="104" t="s">
        <v>235</v>
      </c>
      <c r="C12" s="91" t="s">
        <v>22</v>
      </c>
      <c r="D12" s="122">
        <v>3</v>
      </c>
      <c r="E12" s="103">
        <f>ROUND(10.88*1.2619,2)</f>
        <v>13.73</v>
      </c>
      <c r="F12" s="103">
        <f t="shared" si="0"/>
        <v>41.19</v>
      </c>
      <c r="G12" s="87"/>
    </row>
    <row r="13" spans="1:7" ht="15" x14ac:dyDescent="0.25">
      <c r="A13" s="91" t="s">
        <v>152</v>
      </c>
      <c r="B13" s="123" t="s">
        <v>273</v>
      </c>
      <c r="C13" s="91" t="s">
        <v>22</v>
      </c>
      <c r="D13" s="122">
        <v>1</v>
      </c>
      <c r="E13" s="103">
        <f>ROUND(83*1.2619,2)</f>
        <v>104.74</v>
      </c>
      <c r="F13" s="103">
        <f t="shared" si="0"/>
        <v>104.74</v>
      </c>
      <c r="G13" s="87"/>
    </row>
    <row r="14" spans="1:7" ht="15" x14ac:dyDescent="0.25">
      <c r="A14" s="91" t="s">
        <v>152</v>
      </c>
      <c r="B14" s="123" t="s">
        <v>274</v>
      </c>
      <c r="C14" s="91" t="s">
        <v>22</v>
      </c>
      <c r="D14" s="122">
        <v>1</v>
      </c>
      <c r="E14" s="103">
        <f>ROUND(2.5*1.2619,2)</f>
        <v>3.15</v>
      </c>
      <c r="F14" s="103">
        <f>ROUND(D14*E14,2)</f>
        <v>3.15</v>
      </c>
      <c r="G14" s="87"/>
    </row>
    <row r="15" spans="1:7" ht="15" x14ac:dyDescent="0.25">
      <c r="A15" s="91" t="s">
        <v>152</v>
      </c>
      <c r="B15" s="123" t="s">
        <v>275</v>
      </c>
      <c r="C15" s="98" t="s">
        <v>22</v>
      </c>
      <c r="D15" s="122">
        <v>1</v>
      </c>
      <c r="E15" s="103">
        <f>ROUND(3*1.2619,2)</f>
        <v>3.79</v>
      </c>
      <c r="F15" s="103">
        <f>ROUND(D15*E15,2)</f>
        <v>3.79</v>
      </c>
      <c r="G15" s="87"/>
    </row>
    <row r="16" spans="1:7" ht="15" x14ac:dyDescent="0.25">
      <c r="A16" s="98" t="s">
        <v>152</v>
      </c>
      <c r="B16" s="123" t="s">
        <v>276</v>
      </c>
      <c r="C16" s="98" t="s">
        <v>22</v>
      </c>
      <c r="D16" s="122">
        <v>4</v>
      </c>
      <c r="E16" s="103">
        <f>ROUND(4*1.2619,2)</f>
        <v>5.05</v>
      </c>
      <c r="F16" s="103">
        <f>ROUND(D16*E16,2)</f>
        <v>20.2</v>
      </c>
      <c r="G16" s="87"/>
    </row>
    <row r="17" spans="1:7" ht="45" x14ac:dyDescent="0.2">
      <c r="A17" s="5" t="s">
        <v>216</v>
      </c>
      <c r="B17" s="104" t="s">
        <v>236</v>
      </c>
      <c r="C17" s="91" t="s">
        <v>21</v>
      </c>
      <c r="D17" s="122">
        <v>6</v>
      </c>
      <c r="E17" s="103">
        <f>ROUND(28.12*1.2619,2)</f>
        <v>35.479999999999997</v>
      </c>
      <c r="F17" s="103">
        <f t="shared" ref="F17:F29" si="1">ROUND(D17*E17,2)</f>
        <v>212.88</v>
      </c>
      <c r="G17" s="87"/>
    </row>
    <row r="18" spans="1:7" ht="51" customHeight="1" x14ac:dyDescent="0.2">
      <c r="A18" s="5" t="s">
        <v>217</v>
      </c>
      <c r="B18" s="104" t="s">
        <v>237</v>
      </c>
      <c r="C18" s="91" t="s">
        <v>21</v>
      </c>
      <c r="D18" s="122">
        <v>12</v>
      </c>
      <c r="E18" s="103">
        <f>ROUND(36.69*1.2619,2)</f>
        <v>46.3</v>
      </c>
      <c r="F18" s="103">
        <f t="shared" si="1"/>
        <v>555.6</v>
      </c>
      <c r="G18" s="87"/>
    </row>
    <row r="19" spans="1:7" ht="30" x14ac:dyDescent="0.2">
      <c r="A19" s="5" t="s">
        <v>218</v>
      </c>
      <c r="B19" s="104" t="s">
        <v>238</v>
      </c>
      <c r="C19" s="91" t="s">
        <v>22</v>
      </c>
      <c r="D19" s="122">
        <v>1</v>
      </c>
      <c r="E19" s="103">
        <f>ROUND(38.85*1.2619,2)</f>
        <v>49.02</v>
      </c>
      <c r="F19" s="103">
        <f t="shared" si="1"/>
        <v>49.02</v>
      </c>
      <c r="G19" s="87"/>
    </row>
    <row r="20" spans="1:7" ht="30" x14ac:dyDescent="0.2">
      <c r="A20" s="5" t="s">
        <v>219</v>
      </c>
      <c r="B20" s="104" t="s">
        <v>239</v>
      </c>
      <c r="C20" s="91" t="s">
        <v>22</v>
      </c>
      <c r="D20" s="122">
        <v>2</v>
      </c>
      <c r="E20" s="103">
        <f>ROUND(77.93*1.2619,2)</f>
        <v>98.34</v>
      </c>
      <c r="F20" s="103">
        <f t="shared" si="1"/>
        <v>196.68</v>
      </c>
      <c r="G20" s="87"/>
    </row>
    <row r="21" spans="1:7" ht="33.75" customHeight="1" x14ac:dyDescent="0.2">
      <c r="A21" s="5" t="s">
        <v>220</v>
      </c>
      <c r="B21" s="104" t="s">
        <v>240</v>
      </c>
      <c r="C21" s="91" t="s">
        <v>22</v>
      </c>
      <c r="D21" s="122">
        <v>3</v>
      </c>
      <c r="E21" s="103">
        <f>ROUND(75.38*1.2619,2)</f>
        <v>95.12</v>
      </c>
      <c r="F21" s="103">
        <f t="shared" si="1"/>
        <v>285.36</v>
      </c>
      <c r="G21" s="87"/>
    </row>
    <row r="22" spans="1:7" ht="30" x14ac:dyDescent="0.2">
      <c r="A22" s="5" t="s">
        <v>221</v>
      </c>
      <c r="B22" s="104" t="s">
        <v>241</v>
      </c>
      <c r="C22" s="91" t="s">
        <v>22</v>
      </c>
      <c r="D22" s="122">
        <v>1</v>
      </c>
      <c r="E22" s="103">
        <f>ROUND(78.65*1.2619,2)</f>
        <v>99.25</v>
      </c>
      <c r="F22" s="103">
        <f t="shared" si="1"/>
        <v>99.25</v>
      </c>
      <c r="G22" s="87"/>
    </row>
    <row r="23" spans="1:7" ht="30.75" customHeight="1" x14ac:dyDescent="0.2">
      <c r="A23" s="5" t="s">
        <v>271</v>
      </c>
      <c r="B23" s="104" t="s">
        <v>272</v>
      </c>
      <c r="C23" s="91" t="s">
        <v>22</v>
      </c>
      <c r="D23" s="122">
        <v>1</v>
      </c>
      <c r="E23" s="103">
        <f>ROUND(4.08*1.2619,2)</f>
        <v>5.15</v>
      </c>
      <c r="F23" s="103">
        <f t="shared" si="1"/>
        <v>5.15</v>
      </c>
      <c r="G23" s="87"/>
    </row>
    <row r="24" spans="1:7" ht="30" x14ac:dyDescent="0.2">
      <c r="A24" s="5" t="s">
        <v>222</v>
      </c>
      <c r="B24" s="104" t="s">
        <v>242</v>
      </c>
      <c r="C24" s="91" t="s">
        <v>22</v>
      </c>
      <c r="D24" s="122">
        <v>4</v>
      </c>
      <c r="E24" s="103">
        <f>ROUND(20.71*1.2619,2)</f>
        <v>26.13</v>
      </c>
      <c r="F24" s="103">
        <f t="shared" si="1"/>
        <v>104.52</v>
      </c>
      <c r="G24" s="87"/>
    </row>
    <row r="25" spans="1:7" ht="30" x14ac:dyDescent="0.2">
      <c r="A25" s="5" t="s">
        <v>223</v>
      </c>
      <c r="B25" s="104" t="s">
        <v>243</v>
      </c>
      <c r="C25" s="91" t="s">
        <v>22</v>
      </c>
      <c r="D25" s="122">
        <v>3</v>
      </c>
      <c r="E25" s="103">
        <f>ROUND(3.33*1.2619,2)</f>
        <v>4.2</v>
      </c>
      <c r="F25" s="105">
        <f t="shared" si="1"/>
        <v>12.6</v>
      </c>
      <c r="G25" s="87"/>
    </row>
    <row r="26" spans="1:7" ht="30" x14ac:dyDescent="0.2">
      <c r="A26" s="5" t="s">
        <v>224</v>
      </c>
      <c r="B26" s="104" t="s">
        <v>244</v>
      </c>
      <c r="C26" s="91" t="s">
        <v>22</v>
      </c>
      <c r="D26" s="122">
        <v>2</v>
      </c>
      <c r="E26" s="103">
        <f>ROUND(20.72*1.2619,2)</f>
        <v>26.15</v>
      </c>
      <c r="F26" s="105">
        <f t="shared" si="1"/>
        <v>52.3</v>
      </c>
      <c r="G26" s="87"/>
    </row>
    <row r="27" spans="1:7" ht="30" x14ac:dyDescent="0.2">
      <c r="A27" s="5" t="s">
        <v>225</v>
      </c>
      <c r="B27" s="104" t="s">
        <v>245</v>
      </c>
      <c r="C27" s="91" t="s">
        <v>22</v>
      </c>
      <c r="D27" s="122">
        <v>1</v>
      </c>
      <c r="E27" s="103">
        <f>ROUND(5.29*1.2619,2)</f>
        <v>6.68</v>
      </c>
      <c r="F27" s="105">
        <f t="shared" si="1"/>
        <v>6.68</v>
      </c>
      <c r="G27" s="87"/>
    </row>
    <row r="28" spans="1:7" ht="15" x14ac:dyDescent="0.25">
      <c r="A28" s="5" t="s">
        <v>256</v>
      </c>
      <c r="B28" s="123" t="s">
        <v>258</v>
      </c>
      <c r="C28" s="91" t="s">
        <v>22</v>
      </c>
      <c r="D28" s="122">
        <v>1</v>
      </c>
      <c r="E28" s="105">
        <f>ROUND(5.55*1.2619,2)</f>
        <v>7</v>
      </c>
      <c r="F28" s="105">
        <f t="shared" si="1"/>
        <v>7</v>
      </c>
      <c r="G28" s="87"/>
    </row>
    <row r="29" spans="1:7" ht="15" x14ac:dyDescent="0.25">
      <c r="A29" s="5" t="s">
        <v>257</v>
      </c>
      <c r="B29" s="123" t="s">
        <v>259</v>
      </c>
      <c r="C29" s="91" t="s">
        <v>22</v>
      </c>
      <c r="D29" s="122">
        <v>1</v>
      </c>
      <c r="E29" s="103">
        <f>ROUND(39.11*1.2619,2)</f>
        <v>49.35</v>
      </c>
      <c r="F29" s="105">
        <f t="shared" si="1"/>
        <v>49.35</v>
      </c>
      <c r="G29" s="87"/>
    </row>
    <row r="30" spans="1:7" ht="30" x14ac:dyDescent="0.2">
      <c r="A30" s="5" t="s">
        <v>226</v>
      </c>
      <c r="B30" s="104" t="s">
        <v>246</v>
      </c>
      <c r="C30" s="91" t="s">
        <v>22</v>
      </c>
      <c r="D30" s="122">
        <v>1</v>
      </c>
      <c r="E30" s="103">
        <f>ROUND(14.32*1.2619,2)</f>
        <v>18.07</v>
      </c>
      <c r="F30" s="105">
        <f t="shared" ref="F30:F36" si="2">ROUND(D30*E30,2)</f>
        <v>18.07</v>
      </c>
      <c r="G30" s="87"/>
    </row>
    <row r="31" spans="1:7" ht="30" x14ac:dyDescent="0.2">
      <c r="A31" s="5" t="s">
        <v>227</v>
      </c>
      <c r="B31" s="104" t="s">
        <v>247</v>
      </c>
      <c r="C31" s="91" t="s">
        <v>22</v>
      </c>
      <c r="D31" s="122">
        <v>3</v>
      </c>
      <c r="E31" s="103">
        <f>ROUND(60.06*1.2619,2)</f>
        <v>75.790000000000006</v>
      </c>
      <c r="F31" s="105">
        <f t="shared" si="2"/>
        <v>227.37</v>
      </c>
      <c r="G31" s="87"/>
    </row>
    <row r="32" spans="1:7" ht="30" x14ac:dyDescent="0.2">
      <c r="A32" s="5" t="s">
        <v>228</v>
      </c>
      <c r="B32" s="104" t="s">
        <v>248</v>
      </c>
      <c r="C32" s="91" t="s">
        <v>22</v>
      </c>
      <c r="D32" s="122">
        <v>1</v>
      </c>
      <c r="E32" s="103">
        <f>ROUND(20.27*1.2619,2)</f>
        <v>25.58</v>
      </c>
      <c r="F32" s="105">
        <f t="shared" si="2"/>
        <v>25.58</v>
      </c>
      <c r="G32" s="87"/>
    </row>
    <row r="33" spans="1:7" ht="30" x14ac:dyDescent="0.2">
      <c r="A33" s="5" t="s">
        <v>123</v>
      </c>
      <c r="B33" s="104" t="s">
        <v>125</v>
      </c>
      <c r="C33" s="91" t="s">
        <v>22</v>
      </c>
      <c r="D33" s="122">
        <v>2</v>
      </c>
      <c r="E33" s="103">
        <f>ROUND(80.88*1.2619,2)</f>
        <v>102.06</v>
      </c>
      <c r="F33" s="105">
        <f t="shared" si="2"/>
        <v>204.12</v>
      </c>
      <c r="G33" s="87"/>
    </row>
    <row r="34" spans="1:7" ht="51" customHeight="1" x14ac:dyDescent="0.2">
      <c r="A34" s="5" t="s">
        <v>250</v>
      </c>
      <c r="B34" s="104" t="s">
        <v>253</v>
      </c>
      <c r="C34" s="91" t="s">
        <v>22</v>
      </c>
      <c r="D34" s="122">
        <v>2</v>
      </c>
      <c r="E34" s="103">
        <f>ROUND(93.63*1.2619,2)</f>
        <v>118.15</v>
      </c>
      <c r="F34" s="105">
        <f t="shared" si="2"/>
        <v>236.3</v>
      </c>
      <c r="G34" s="87"/>
    </row>
    <row r="35" spans="1:7" ht="45" x14ac:dyDescent="0.2">
      <c r="A35" s="5" t="s">
        <v>251</v>
      </c>
      <c r="B35" s="104" t="s">
        <v>254</v>
      </c>
      <c r="C35" s="91" t="s">
        <v>22</v>
      </c>
      <c r="D35" s="122">
        <v>1</v>
      </c>
      <c r="E35" s="103">
        <f>ROUND(168.03*1.2619,2)</f>
        <v>212.04</v>
      </c>
      <c r="F35" s="105">
        <f t="shared" si="2"/>
        <v>212.04</v>
      </c>
      <c r="G35" s="87"/>
    </row>
    <row r="36" spans="1:7" ht="30" x14ac:dyDescent="0.2">
      <c r="A36" s="5" t="s">
        <v>252</v>
      </c>
      <c r="B36" s="104" t="s">
        <v>255</v>
      </c>
      <c r="C36" s="91" t="s">
        <v>22</v>
      </c>
      <c r="D36" s="122">
        <v>1</v>
      </c>
      <c r="E36" s="103">
        <f>ROUND(30.38*1.2619,2)</f>
        <v>38.340000000000003</v>
      </c>
      <c r="F36" s="105">
        <f t="shared" si="2"/>
        <v>38.340000000000003</v>
      </c>
      <c r="G36" s="87"/>
    </row>
    <row r="37" spans="1:7" ht="45" customHeight="1" x14ac:dyDescent="0.2">
      <c r="A37" s="5" t="s">
        <v>229</v>
      </c>
      <c r="B37" s="25" t="s">
        <v>249</v>
      </c>
      <c r="C37" s="91" t="s">
        <v>22</v>
      </c>
      <c r="D37" s="122">
        <v>1</v>
      </c>
      <c r="E37" s="103">
        <f>ROUND(144.71*1.2619,2)</f>
        <v>182.61</v>
      </c>
      <c r="F37" s="105">
        <f>ROUND(D37*E37,2)</f>
        <v>182.61</v>
      </c>
      <c r="G37" s="87"/>
    </row>
    <row r="38" spans="1:7" ht="15" x14ac:dyDescent="0.25">
      <c r="A38" s="98" t="s">
        <v>152</v>
      </c>
      <c r="B38" s="123" t="s">
        <v>277</v>
      </c>
      <c r="C38" s="91" t="s">
        <v>22</v>
      </c>
      <c r="D38" s="122">
        <v>1</v>
      </c>
      <c r="E38" s="103">
        <f>ROUND(125*1.2619,2)</f>
        <v>157.74</v>
      </c>
      <c r="F38" s="105">
        <f>ROUND(D38*E38,2)</f>
        <v>157.74</v>
      </c>
      <c r="G38" s="87"/>
    </row>
    <row r="39" spans="1:7" ht="30" x14ac:dyDescent="0.2">
      <c r="A39" s="5" t="s">
        <v>145</v>
      </c>
      <c r="B39" s="124" t="s">
        <v>148</v>
      </c>
      <c r="C39" s="91" t="s">
        <v>20</v>
      </c>
      <c r="D39" s="122">
        <v>8</v>
      </c>
      <c r="E39" s="103">
        <f>ROUND(10.23*1.2619,2)</f>
        <v>12.91</v>
      </c>
      <c r="F39" s="103">
        <f>ROUND(D39*E39,2)</f>
        <v>103.28</v>
      </c>
      <c r="G39" s="87"/>
    </row>
    <row r="40" spans="1:7" ht="16.5" x14ac:dyDescent="0.25">
      <c r="A40" s="87"/>
      <c r="B40" s="87"/>
      <c r="C40" s="87"/>
      <c r="D40" s="87"/>
      <c r="E40" s="16" t="s">
        <v>83</v>
      </c>
      <c r="F40" s="81">
        <f>SUM(F6:F39)</f>
        <v>3506.9</v>
      </c>
      <c r="G40" s="87"/>
    </row>
    <row r="41" spans="1:7" ht="14.25" x14ac:dyDescent="0.2">
      <c r="A41" s="87"/>
      <c r="B41" s="87"/>
      <c r="C41" s="87"/>
      <c r="D41" s="87"/>
      <c r="E41" s="87"/>
      <c r="F41" s="87"/>
      <c r="G41" s="87"/>
    </row>
  </sheetData>
  <mergeCells count="3">
    <mergeCell ref="A1:E1"/>
    <mergeCell ref="A4:G4"/>
    <mergeCell ref="B3:F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92" orientation="portrait" horizontalDpi="300" verticalDpi="300" r:id="rId1"/>
  <headerFooter alignWithMargins="0">
    <oddHeader>&amp;L&amp;"Arial,Itálico"&amp;11HISTÓRICOS ORÇAMENTÁRIOS</oddHeader>
    <oddFooter>&amp;RPágina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82" zoomScaleNormal="82" workbookViewId="0">
      <selection activeCell="C8" sqref="C8"/>
    </sheetView>
  </sheetViews>
  <sheetFormatPr defaultRowHeight="12.75" x14ac:dyDescent="0.2"/>
  <cols>
    <col min="1" max="1" width="12.5703125" customWidth="1"/>
    <col min="2" max="2" width="49.7109375" customWidth="1"/>
    <col min="3" max="3" width="7.42578125" customWidth="1"/>
    <col min="4" max="4" width="8.85546875" customWidth="1"/>
    <col min="5" max="5" width="8.5703125" customWidth="1"/>
    <col min="6" max="6" width="11.5703125" customWidth="1"/>
    <col min="11" max="11" width="41.5703125" customWidth="1"/>
  </cols>
  <sheetData>
    <row r="1" spans="1:14" ht="42.75" customHeight="1" x14ac:dyDescent="0.2">
      <c r="A1" s="218" t="s">
        <v>409</v>
      </c>
      <c r="B1" s="218"/>
      <c r="C1" s="218"/>
      <c r="D1" s="218"/>
      <c r="E1" s="218"/>
      <c r="F1" s="218"/>
    </row>
    <row r="2" spans="1:14" ht="15" x14ac:dyDescent="0.2">
      <c r="A2" s="49"/>
      <c r="B2" s="5"/>
      <c r="C2" s="50"/>
      <c r="D2" s="50"/>
      <c r="E2" s="50"/>
      <c r="F2" s="50"/>
    </row>
    <row r="3" spans="1:14" ht="30" customHeight="1" x14ac:dyDescent="0.2">
      <c r="A3" s="119" t="s">
        <v>422</v>
      </c>
      <c r="B3" s="213" t="s">
        <v>409</v>
      </c>
      <c r="C3" s="213"/>
      <c r="D3" s="213"/>
      <c r="E3" s="213"/>
      <c r="F3" s="213"/>
    </row>
    <row r="4" spans="1:14" ht="15" x14ac:dyDescent="0.2">
      <c r="A4" s="50"/>
      <c r="B4" s="5"/>
      <c r="C4" s="50"/>
      <c r="D4" s="50"/>
      <c r="E4" s="50"/>
      <c r="F4" s="50"/>
    </row>
    <row r="5" spans="1:14" ht="14.25" customHeight="1" x14ac:dyDescent="0.2">
      <c r="A5" s="52" t="s">
        <v>27</v>
      </c>
      <c r="B5" s="53" t="s">
        <v>28</v>
      </c>
      <c r="C5" s="53" t="s">
        <v>29</v>
      </c>
      <c r="D5" s="53" t="s">
        <v>30</v>
      </c>
      <c r="E5" s="53" t="s">
        <v>82</v>
      </c>
      <c r="F5" s="53" t="s">
        <v>83</v>
      </c>
    </row>
    <row r="6" spans="1:14" ht="32.25" customHeight="1" x14ac:dyDescent="0.2">
      <c r="A6" s="134" t="s">
        <v>412</v>
      </c>
      <c r="B6" s="169" t="s">
        <v>413</v>
      </c>
      <c r="C6" s="91" t="s">
        <v>21</v>
      </c>
      <c r="D6" s="122">
        <v>16</v>
      </c>
      <c r="E6" s="103">
        <f>ROUND(10.28*1.2619,2)</f>
        <v>12.97</v>
      </c>
      <c r="F6" s="122">
        <f>ROUND(D6*E6,2)</f>
        <v>207.52</v>
      </c>
      <c r="H6" s="45"/>
    </row>
    <row r="7" spans="1:14" ht="30" x14ac:dyDescent="0.2">
      <c r="A7" s="134" t="s">
        <v>414</v>
      </c>
      <c r="B7" s="136" t="s">
        <v>415</v>
      </c>
      <c r="C7" s="91" t="s">
        <v>21</v>
      </c>
      <c r="D7" s="135">
        <v>15</v>
      </c>
      <c r="E7" s="103">
        <f>ROUND(40.59*1.2619,2)</f>
        <v>51.22</v>
      </c>
      <c r="F7" s="122">
        <f>ROUND(D7*E7,2)</f>
        <v>768.3</v>
      </c>
      <c r="G7" s="45"/>
    </row>
    <row r="8" spans="1:14" ht="30" x14ac:dyDescent="0.2">
      <c r="A8" s="134" t="s">
        <v>219</v>
      </c>
      <c r="B8" s="136" t="s">
        <v>239</v>
      </c>
      <c r="C8" s="172" t="s">
        <v>410</v>
      </c>
      <c r="D8" s="135">
        <v>2</v>
      </c>
      <c r="E8" s="103">
        <f>ROUND(77.93*1.2619,2)</f>
        <v>98.34</v>
      </c>
      <c r="F8" s="122">
        <f>ROUND(D8*E8,2)</f>
        <v>196.68</v>
      </c>
      <c r="H8" s="45"/>
      <c r="I8" s="45"/>
    </row>
    <row r="9" spans="1:14" ht="33" customHeight="1" x14ac:dyDescent="0.2">
      <c r="A9" s="134" t="s">
        <v>416</v>
      </c>
      <c r="B9" s="136" t="s">
        <v>417</v>
      </c>
      <c r="C9" s="172" t="s">
        <v>410</v>
      </c>
      <c r="D9" s="135">
        <v>2</v>
      </c>
      <c r="E9" s="103">
        <f>ROUND(229.39*1.2619,2)</f>
        <v>289.47000000000003</v>
      </c>
      <c r="F9" s="122">
        <f>ROUND(D9*E9,2)</f>
        <v>578.94000000000005</v>
      </c>
      <c r="H9" s="45"/>
    </row>
    <row r="10" spans="1:14" ht="75.75" customHeight="1" x14ac:dyDescent="0.2">
      <c r="A10" s="134" t="s">
        <v>418</v>
      </c>
      <c r="B10" s="109" t="s">
        <v>419</v>
      </c>
      <c r="C10" s="172" t="s">
        <v>410</v>
      </c>
      <c r="D10" s="92">
        <v>2</v>
      </c>
      <c r="E10" s="103">
        <f>ROUND(2382.5*1.2619,2)</f>
        <v>3006.48</v>
      </c>
      <c r="F10" s="122">
        <f>ROUND(D10*E10,2)</f>
        <v>6012.96</v>
      </c>
      <c r="J10" s="5"/>
      <c r="K10" s="136"/>
      <c r="L10" s="103"/>
      <c r="M10" s="105"/>
      <c r="N10" s="103"/>
    </row>
    <row r="11" spans="1:14" ht="15" x14ac:dyDescent="0.2">
      <c r="A11" s="91"/>
      <c r="B11" s="124"/>
      <c r="C11" s="91"/>
      <c r="D11" s="135"/>
      <c r="E11" s="122"/>
      <c r="F11" s="122"/>
    </row>
    <row r="12" spans="1:14" ht="15" x14ac:dyDescent="0.25">
      <c r="A12" s="98"/>
      <c r="B12" s="88"/>
      <c r="C12" s="2"/>
      <c r="D12" s="98"/>
      <c r="E12" s="57" t="s">
        <v>83</v>
      </c>
      <c r="F12" s="100">
        <f>SUM(F6:F11)</f>
        <v>7764.4</v>
      </c>
    </row>
  </sheetData>
  <mergeCells count="2">
    <mergeCell ref="A1:F1"/>
    <mergeCell ref="B3:F3"/>
  </mergeCells>
  <pageMargins left="0.51181102362204722" right="0.51181102362204722" top="0.78740157480314965" bottom="0.78740157480314965" header="0.31496062992125984" footer="0.31496062992125984"/>
  <pageSetup paperSize="9" scale="9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37" workbookViewId="0">
      <selection activeCell="F59" sqref="F59"/>
    </sheetView>
  </sheetViews>
  <sheetFormatPr defaultRowHeight="12.75" x14ac:dyDescent="0.2"/>
  <cols>
    <col min="1" max="1" width="11" style="1" customWidth="1"/>
    <col min="2" max="2" width="43.5703125" style="1" customWidth="1"/>
    <col min="3" max="3" width="7.7109375" style="1" customWidth="1"/>
    <col min="4" max="4" width="9.140625" style="1"/>
    <col min="5" max="5" width="9.5703125" style="1" customWidth="1"/>
    <col min="6" max="6" width="10.28515625" style="1" customWidth="1"/>
    <col min="7" max="16384" width="9.140625" style="1"/>
  </cols>
  <sheetData>
    <row r="1" spans="1:6" ht="15" x14ac:dyDescent="0.2">
      <c r="A1" s="219" t="s">
        <v>31</v>
      </c>
      <c r="B1" s="219"/>
      <c r="C1" s="219"/>
      <c r="D1" s="219"/>
      <c r="E1" s="219"/>
      <c r="F1" s="219"/>
    </row>
    <row r="2" spans="1:6" ht="15" x14ac:dyDescent="0.2">
      <c r="A2" s="59"/>
      <c r="B2" s="59"/>
      <c r="C2" s="59"/>
      <c r="D2" s="59"/>
      <c r="E2" s="59"/>
      <c r="F2" s="50"/>
    </row>
    <row r="3" spans="1:6" ht="33.75" customHeight="1" x14ac:dyDescent="0.2">
      <c r="A3" s="119" t="s">
        <v>282</v>
      </c>
      <c r="B3" s="213" t="s">
        <v>268</v>
      </c>
      <c r="C3" s="213"/>
      <c r="D3" s="213"/>
      <c r="E3" s="213"/>
      <c r="F3" s="213"/>
    </row>
    <row r="4" spans="1:6" ht="15" x14ac:dyDescent="0.2">
      <c r="A4" s="119"/>
      <c r="B4" s="51"/>
      <c r="C4" s="51"/>
      <c r="D4" s="51"/>
      <c r="E4" s="51"/>
      <c r="F4" s="51"/>
    </row>
    <row r="5" spans="1:6" ht="15" x14ac:dyDescent="0.2">
      <c r="A5" s="91">
        <v>1</v>
      </c>
      <c r="B5" s="140" t="s">
        <v>39</v>
      </c>
      <c r="C5" s="51"/>
      <c r="D5" s="51"/>
      <c r="E5" s="51"/>
      <c r="F5" s="51"/>
    </row>
    <row r="6" spans="1:6" ht="15" customHeight="1" x14ac:dyDescent="0.2">
      <c r="A6" s="91" t="s">
        <v>40</v>
      </c>
      <c r="B6" s="140" t="s">
        <v>41</v>
      </c>
      <c r="C6" s="51"/>
      <c r="D6" s="51"/>
      <c r="E6" s="51"/>
      <c r="F6" s="51"/>
    </row>
    <row r="7" spans="1:6" ht="15" x14ac:dyDescent="0.2">
      <c r="A7" s="50"/>
      <c r="B7" s="5"/>
      <c r="C7" s="50"/>
      <c r="D7" s="50"/>
      <c r="E7" s="50"/>
      <c r="F7" s="50"/>
    </row>
    <row r="8" spans="1:6" ht="14.25" x14ac:dyDescent="0.2">
      <c r="A8" s="52" t="s">
        <v>27</v>
      </c>
      <c r="B8" s="53" t="s">
        <v>28</v>
      </c>
      <c r="C8" s="53" t="s">
        <v>29</v>
      </c>
      <c r="D8" s="53" t="s">
        <v>30</v>
      </c>
      <c r="E8" s="53" t="s">
        <v>82</v>
      </c>
      <c r="F8" s="53" t="s">
        <v>83</v>
      </c>
    </row>
    <row r="9" spans="1:6" ht="30" x14ac:dyDescent="0.2">
      <c r="A9" s="94" t="s">
        <v>152</v>
      </c>
      <c r="B9" s="90" t="s">
        <v>42</v>
      </c>
      <c r="C9" s="91" t="s">
        <v>0</v>
      </c>
      <c r="D9" s="91">
        <v>1</v>
      </c>
      <c r="E9" s="97">
        <v>39</v>
      </c>
      <c r="F9" s="97">
        <f>E9*D9</f>
        <v>39</v>
      </c>
    </row>
    <row r="10" spans="1:6" ht="15" x14ac:dyDescent="0.2">
      <c r="A10" s="94" t="s">
        <v>152</v>
      </c>
      <c r="B10" s="90" t="s">
        <v>43</v>
      </c>
      <c r="C10" s="91" t="s">
        <v>0</v>
      </c>
      <c r="D10" s="91">
        <v>1</v>
      </c>
      <c r="E10" s="50">
        <v>49.42</v>
      </c>
      <c r="F10" s="97">
        <f t="shared" ref="F10:F25" si="0">E10*D10</f>
        <v>49.42</v>
      </c>
    </row>
    <row r="11" spans="1:6" ht="15" x14ac:dyDescent="0.2">
      <c r="A11" s="94" t="s">
        <v>152</v>
      </c>
      <c r="B11" s="90" t="s">
        <v>44</v>
      </c>
      <c r="C11" s="91" t="s">
        <v>0</v>
      </c>
      <c r="D11" s="91">
        <v>1</v>
      </c>
      <c r="E11" s="50">
        <v>32.56</v>
      </c>
      <c r="F11" s="97">
        <f t="shared" si="0"/>
        <v>32.56</v>
      </c>
    </row>
    <row r="12" spans="1:6" ht="15" x14ac:dyDescent="0.2">
      <c r="A12" s="94" t="s">
        <v>152</v>
      </c>
      <c r="B12" s="90" t="s">
        <v>45</v>
      </c>
      <c r="C12" s="91" t="s">
        <v>0</v>
      </c>
      <c r="D12" s="91">
        <v>1</v>
      </c>
      <c r="E12" s="50">
        <v>5.86</v>
      </c>
      <c r="F12" s="97">
        <f t="shared" si="0"/>
        <v>5.86</v>
      </c>
    </row>
    <row r="13" spans="1:6" ht="15" x14ac:dyDescent="0.2">
      <c r="A13" s="94" t="s">
        <v>152</v>
      </c>
      <c r="B13" s="90" t="s">
        <v>46</v>
      </c>
      <c r="C13" s="91" t="s">
        <v>0</v>
      </c>
      <c r="D13" s="91">
        <v>1</v>
      </c>
      <c r="E13" s="50">
        <v>5.86</v>
      </c>
      <c r="F13" s="97">
        <f t="shared" si="0"/>
        <v>5.86</v>
      </c>
    </row>
    <row r="14" spans="1:6" ht="15" x14ac:dyDescent="0.2">
      <c r="A14" s="94" t="s">
        <v>152</v>
      </c>
      <c r="B14" s="90" t="s">
        <v>47</v>
      </c>
      <c r="C14" s="91" t="s">
        <v>1</v>
      </c>
      <c r="D14" s="91">
        <v>12</v>
      </c>
      <c r="E14" s="50">
        <v>13.2</v>
      </c>
      <c r="F14" s="97">
        <f t="shared" si="0"/>
        <v>158.39999999999998</v>
      </c>
    </row>
    <row r="15" spans="1:6" ht="15" x14ac:dyDescent="0.2">
      <c r="A15" s="94" t="s">
        <v>152</v>
      </c>
      <c r="B15" s="90" t="s">
        <v>48</v>
      </c>
      <c r="C15" s="91" t="s">
        <v>0</v>
      </c>
      <c r="D15" s="91">
        <v>6</v>
      </c>
      <c r="E15" s="50">
        <v>1.53</v>
      </c>
      <c r="F15" s="97">
        <f t="shared" si="0"/>
        <v>9.18</v>
      </c>
    </row>
    <row r="16" spans="1:6" ht="15" x14ac:dyDescent="0.2">
      <c r="A16" s="94" t="s">
        <v>152</v>
      </c>
      <c r="B16" s="90" t="s">
        <v>49</v>
      </c>
      <c r="C16" s="91" t="s">
        <v>0</v>
      </c>
      <c r="D16" s="91">
        <v>4</v>
      </c>
      <c r="E16" s="50">
        <v>2.69</v>
      </c>
      <c r="F16" s="97">
        <f t="shared" si="0"/>
        <v>10.76</v>
      </c>
    </row>
    <row r="17" spans="1:9" ht="15" x14ac:dyDescent="0.2">
      <c r="A17" s="94" t="s">
        <v>152</v>
      </c>
      <c r="B17" s="90" t="s">
        <v>50</v>
      </c>
      <c r="C17" s="91" t="s">
        <v>0</v>
      </c>
      <c r="D17" s="91">
        <v>4</v>
      </c>
      <c r="E17" s="50">
        <v>4.9000000000000004</v>
      </c>
      <c r="F17" s="97">
        <f t="shared" si="0"/>
        <v>19.600000000000001</v>
      </c>
    </row>
    <row r="18" spans="1:9" ht="15" x14ac:dyDescent="0.2">
      <c r="A18" s="94" t="s">
        <v>152</v>
      </c>
      <c r="B18" s="90" t="s">
        <v>51</v>
      </c>
      <c r="C18" s="91" t="s">
        <v>0</v>
      </c>
      <c r="D18" s="91">
        <v>2</v>
      </c>
      <c r="E18" s="50">
        <v>3.48</v>
      </c>
      <c r="F18" s="97">
        <f t="shared" si="0"/>
        <v>6.96</v>
      </c>
    </row>
    <row r="19" spans="1:9" ht="15" x14ac:dyDescent="0.2">
      <c r="A19" s="94" t="s">
        <v>152</v>
      </c>
      <c r="B19" s="90" t="s">
        <v>52</v>
      </c>
      <c r="C19" s="91" t="s">
        <v>0</v>
      </c>
      <c r="D19" s="91">
        <v>1</v>
      </c>
      <c r="E19" s="50">
        <v>3.48</v>
      </c>
      <c r="F19" s="97">
        <f t="shared" si="0"/>
        <v>3.48</v>
      </c>
    </row>
    <row r="20" spans="1:9" ht="15" x14ac:dyDescent="0.2">
      <c r="A20" s="94" t="s">
        <v>152</v>
      </c>
      <c r="B20" s="90" t="s">
        <v>53</v>
      </c>
      <c r="C20" s="91" t="s">
        <v>0</v>
      </c>
      <c r="D20" s="91">
        <v>1</v>
      </c>
      <c r="E20" s="50">
        <v>3.48</v>
      </c>
      <c r="F20" s="97">
        <f t="shared" si="0"/>
        <v>3.48</v>
      </c>
    </row>
    <row r="21" spans="1:9" ht="15" x14ac:dyDescent="0.2">
      <c r="A21" s="94" t="s">
        <v>152</v>
      </c>
      <c r="B21" s="90" t="s">
        <v>54</v>
      </c>
      <c r="C21" s="91" t="s">
        <v>0</v>
      </c>
      <c r="D21" s="91">
        <v>1</v>
      </c>
      <c r="E21" s="50">
        <v>6.9</v>
      </c>
      <c r="F21" s="97">
        <f t="shared" si="0"/>
        <v>6.9</v>
      </c>
    </row>
    <row r="22" spans="1:9" ht="15" x14ac:dyDescent="0.2">
      <c r="A22" s="94" t="s">
        <v>152</v>
      </c>
      <c r="B22" s="90" t="s">
        <v>55</v>
      </c>
      <c r="C22" s="91" t="s">
        <v>0</v>
      </c>
      <c r="D22" s="91">
        <v>2</v>
      </c>
      <c r="E22" s="50">
        <f>14.96+24</f>
        <v>38.96</v>
      </c>
      <c r="F22" s="97">
        <f t="shared" si="0"/>
        <v>77.92</v>
      </c>
    </row>
    <row r="23" spans="1:9" ht="15" x14ac:dyDescent="0.2">
      <c r="A23" s="94" t="s">
        <v>152</v>
      </c>
      <c r="B23" s="90" t="s">
        <v>56</v>
      </c>
      <c r="C23" s="91" t="s">
        <v>0</v>
      </c>
      <c r="D23" s="91">
        <v>1</v>
      </c>
      <c r="E23" s="50">
        <v>5.88</v>
      </c>
      <c r="F23" s="97">
        <f t="shared" si="0"/>
        <v>5.88</v>
      </c>
    </row>
    <row r="24" spans="1:9" ht="15" x14ac:dyDescent="0.2">
      <c r="A24" s="94" t="s">
        <v>152</v>
      </c>
      <c r="B24" s="90" t="s">
        <v>57</v>
      </c>
      <c r="C24" s="91" t="s">
        <v>1</v>
      </c>
      <c r="D24" s="91">
        <v>40</v>
      </c>
      <c r="E24" s="50">
        <v>1.1000000000000001</v>
      </c>
      <c r="F24" s="97">
        <f t="shared" si="0"/>
        <v>44</v>
      </c>
    </row>
    <row r="25" spans="1:9" ht="15" x14ac:dyDescent="0.2">
      <c r="A25" s="94" t="s">
        <v>152</v>
      </c>
      <c r="B25" s="90" t="s">
        <v>58</v>
      </c>
      <c r="C25" s="91" t="s">
        <v>1</v>
      </c>
      <c r="D25" s="91">
        <v>15</v>
      </c>
      <c r="E25" s="50">
        <v>0.7</v>
      </c>
      <c r="F25" s="97">
        <f t="shared" si="0"/>
        <v>10.5</v>
      </c>
    </row>
    <row r="26" spans="1:9" ht="15" x14ac:dyDescent="0.2">
      <c r="A26" s="94"/>
      <c r="B26" s="107"/>
      <c r="C26" s="91"/>
      <c r="D26" s="217" t="s">
        <v>269</v>
      </c>
      <c r="E26" s="217"/>
      <c r="F26" s="141">
        <f>SUM(F9:F25)</f>
        <v>489.76000000000005</v>
      </c>
    </row>
    <row r="27" spans="1:9" ht="15" x14ac:dyDescent="0.2">
      <c r="A27" s="94"/>
      <c r="B27" s="107"/>
      <c r="C27" s="91"/>
      <c r="D27" s="92"/>
      <c r="E27" s="50"/>
      <c r="F27" s="50"/>
    </row>
    <row r="28" spans="1:9" ht="15" x14ac:dyDescent="0.2">
      <c r="A28" s="91" t="s">
        <v>59</v>
      </c>
      <c r="B28" s="140" t="s">
        <v>60</v>
      </c>
      <c r="C28" s="91"/>
      <c r="D28" s="92"/>
      <c r="E28" s="50"/>
      <c r="F28" s="50"/>
    </row>
    <row r="29" spans="1:9" ht="15" x14ac:dyDescent="0.2">
      <c r="A29" s="50"/>
      <c r="B29" s="50"/>
      <c r="C29" s="50"/>
      <c r="D29" s="50"/>
      <c r="E29" s="50"/>
      <c r="F29" s="50"/>
    </row>
    <row r="30" spans="1:9" ht="14.25" x14ac:dyDescent="0.2">
      <c r="A30" s="52" t="s">
        <v>27</v>
      </c>
      <c r="B30" s="53" t="s">
        <v>28</v>
      </c>
      <c r="C30" s="53" t="s">
        <v>29</v>
      </c>
      <c r="D30" s="53" t="s">
        <v>30</v>
      </c>
      <c r="E30" s="53" t="s">
        <v>82</v>
      </c>
      <c r="F30" s="53" t="s">
        <v>83</v>
      </c>
    </row>
    <row r="31" spans="1:9" ht="31.5" customHeight="1" x14ac:dyDescent="0.2">
      <c r="A31" s="142">
        <v>40102</v>
      </c>
      <c r="B31" s="90" t="s">
        <v>283</v>
      </c>
      <c r="C31" s="91" t="s">
        <v>0</v>
      </c>
      <c r="D31" s="91">
        <v>1</v>
      </c>
      <c r="E31" s="50">
        <f>ROUND((1017.33/1.309)*1.2619,2)</f>
        <v>980.72</v>
      </c>
      <c r="F31" s="97">
        <f t="shared" ref="F31:F39" si="1">(E31*D31)/3</f>
        <v>326.90666666666669</v>
      </c>
      <c r="I31" s="48"/>
    </row>
    <row r="32" spans="1:9" ht="15" x14ac:dyDescent="0.2">
      <c r="A32" s="94" t="s">
        <v>152</v>
      </c>
      <c r="B32" s="90" t="s">
        <v>62</v>
      </c>
      <c r="C32" s="91" t="s">
        <v>1</v>
      </c>
      <c r="D32" s="91">
        <v>72</v>
      </c>
      <c r="E32" s="50">
        <v>8.02</v>
      </c>
      <c r="F32" s="97">
        <f t="shared" si="1"/>
        <v>192.48</v>
      </c>
    </row>
    <row r="33" spans="1:6" ht="15" x14ac:dyDescent="0.2">
      <c r="A33" s="94" t="s">
        <v>152</v>
      </c>
      <c r="B33" s="90" t="s">
        <v>63</v>
      </c>
      <c r="C33" s="91" t="s">
        <v>1</v>
      </c>
      <c r="D33" s="91">
        <v>16</v>
      </c>
      <c r="E33" s="50">
        <v>4.9400000000000004</v>
      </c>
      <c r="F33" s="97">
        <f t="shared" si="1"/>
        <v>26.346666666666668</v>
      </c>
    </row>
    <row r="34" spans="1:6" ht="30" x14ac:dyDescent="0.2">
      <c r="A34" s="94" t="s">
        <v>152</v>
      </c>
      <c r="B34" s="90" t="s">
        <v>64</v>
      </c>
      <c r="C34" s="91" t="s">
        <v>65</v>
      </c>
      <c r="D34" s="91">
        <v>1</v>
      </c>
      <c r="E34" s="50">
        <v>80.14</v>
      </c>
      <c r="F34" s="97">
        <f t="shared" si="1"/>
        <v>26.713333333333335</v>
      </c>
    </row>
    <row r="35" spans="1:6" ht="15" x14ac:dyDescent="0.2">
      <c r="A35" s="94" t="s">
        <v>152</v>
      </c>
      <c r="B35" s="90" t="s">
        <v>43</v>
      </c>
      <c r="C35" s="91" t="s">
        <v>0</v>
      </c>
      <c r="D35" s="91">
        <v>1</v>
      </c>
      <c r="E35" s="50">
        <v>49.42</v>
      </c>
      <c r="F35" s="97">
        <f t="shared" si="1"/>
        <v>16.473333333333333</v>
      </c>
    </row>
    <row r="36" spans="1:6" ht="15" x14ac:dyDescent="0.2">
      <c r="A36" s="94" t="s">
        <v>152</v>
      </c>
      <c r="B36" s="90" t="s">
        <v>66</v>
      </c>
      <c r="C36" s="91" t="s">
        <v>0</v>
      </c>
      <c r="D36" s="91">
        <v>2</v>
      </c>
      <c r="E36" s="50">
        <v>26.95</v>
      </c>
      <c r="F36" s="97">
        <f t="shared" si="1"/>
        <v>17.966666666666665</v>
      </c>
    </row>
    <row r="37" spans="1:6" ht="15" x14ac:dyDescent="0.2">
      <c r="A37" s="94" t="s">
        <v>152</v>
      </c>
      <c r="B37" s="90" t="s">
        <v>67</v>
      </c>
      <c r="C37" s="91" t="s">
        <v>1</v>
      </c>
      <c r="D37" s="91">
        <v>12</v>
      </c>
      <c r="E37" s="50">
        <v>13.96</v>
      </c>
      <c r="F37" s="97">
        <f t="shared" si="1"/>
        <v>55.84</v>
      </c>
    </row>
    <row r="38" spans="1:6" ht="15" x14ac:dyDescent="0.2">
      <c r="A38" s="94" t="s">
        <v>152</v>
      </c>
      <c r="B38" s="90" t="s">
        <v>68</v>
      </c>
      <c r="C38" s="91" t="s">
        <v>1</v>
      </c>
      <c r="D38" s="91">
        <v>2</v>
      </c>
      <c r="E38" s="50">
        <v>3.58</v>
      </c>
      <c r="F38" s="97">
        <f t="shared" si="1"/>
        <v>2.3866666666666667</v>
      </c>
    </row>
    <row r="39" spans="1:6" ht="15" x14ac:dyDescent="0.2">
      <c r="A39" s="94" t="s">
        <v>152</v>
      </c>
      <c r="B39" s="90" t="s">
        <v>69</v>
      </c>
      <c r="C39" s="91" t="s">
        <v>1</v>
      </c>
      <c r="D39" s="91">
        <v>8</v>
      </c>
      <c r="E39" s="50">
        <v>1.84</v>
      </c>
      <c r="F39" s="97">
        <f t="shared" si="1"/>
        <v>4.9066666666666672</v>
      </c>
    </row>
    <row r="40" spans="1:6" ht="15" x14ac:dyDescent="0.2">
      <c r="A40" s="94"/>
      <c r="B40" s="90"/>
      <c r="C40" s="91"/>
      <c r="D40" s="217" t="s">
        <v>269</v>
      </c>
      <c r="E40" s="217"/>
      <c r="F40" s="141">
        <f>SUM(F31:F39)</f>
        <v>670.0200000000001</v>
      </c>
    </row>
    <row r="41" spans="1:6" ht="15" x14ac:dyDescent="0.2">
      <c r="A41" s="94"/>
      <c r="B41" s="90"/>
      <c r="C41" s="91"/>
      <c r="D41" s="128"/>
      <c r="E41" s="128"/>
      <c r="F41" s="141"/>
    </row>
    <row r="42" spans="1:6" ht="15" x14ac:dyDescent="0.2">
      <c r="A42" s="94"/>
      <c r="B42" s="90"/>
      <c r="C42" s="91"/>
      <c r="D42" s="128"/>
      <c r="E42" s="128"/>
      <c r="F42" s="141"/>
    </row>
    <row r="43" spans="1:6" ht="15" x14ac:dyDescent="0.2">
      <c r="A43" s="94"/>
      <c r="B43" s="90"/>
      <c r="C43" s="91"/>
      <c r="D43" s="128"/>
      <c r="E43" s="128"/>
      <c r="F43" s="141"/>
    </row>
    <row r="44" spans="1:6" ht="15" x14ac:dyDescent="0.2">
      <c r="A44" s="94"/>
      <c r="B44" s="90"/>
      <c r="C44" s="91"/>
      <c r="D44" s="128"/>
      <c r="E44" s="128"/>
      <c r="F44" s="141"/>
    </row>
    <row r="45" spans="1:6" ht="15" x14ac:dyDescent="0.2">
      <c r="A45" s="50"/>
      <c r="B45" s="50"/>
      <c r="C45" s="50"/>
      <c r="D45" s="50"/>
      <c r="E45" s="50"/>
      <c r="F45" s="50"/>
    </row>
    <row r="46" spans="1:6" ht="15" x14ac:dyDescent="0.2">
      <c r="A46" s="91" t="s">
        <v>70</v>
      </c>
      <c r="B46" s="140" t="s">
        <v>71</v>
      </c>
      <c r="C46" s="50"/>
      <c r="D46" s="50"/>
      <c r="E46" s="50"/>
      <c r="F46" s="50"/>
    </row>
    <row r="47" spans="1:6" ht="15" x14ac:dyDescent="0.2">
      <c r="A47" s="50"/>
      <c r="B47" s="50"/>
      <c r="C47" s="50"/>
      <c r="D47" s="50"/>
      <c r="E47" s="50"/>
      <c r="F47" s="50"/>
    </row>
    <row r="48" spans="1:6" ht="14.25" x14ac:dyDescent="0.2">
      <c r="A48" s="52" t="s">
        <v>27</v>
      </c>
      <c r="B48" s="53" t="s">
        <v>28</v>
      </c>
      <c r="C48" s="53" t="s">
        <v>29</v>
      </c>
      <c r="D48" s="53" t="s">
        <v>30</v>
      </c>
      <c r="E48" s="53" t="s">
        <v>82</v>
      </c>
      <c r="F48" s="53" t="s">
        <v>83</v>
      </c>
    </row>
    <row r="49" spans="1:6" ht="78" customHeight="1" x14ac:dyDescent="0.2">
      <c r="A49" s="94" t="s">
        <v>152</v>
      </c>
      <c r="B49" s="136" t="s">
        <v>72</v>
      </c>
      <c r="C49" s="91" t="s">
        <v>0</v>
      </c>
      <c r="D49" s="92">
        <v>1</v>
      </c>
      <c r="E49" s="97">
        <v>1214</v>
      </c>
      <c r="F49" s="97">
        <f>(E49*D49)</f>
        <v>1214</v>
      </c>
    </row>
    <row r="50" spans="1:6" ht="15" x14ac:dyDescent="0.2">
      <c r="A50" s="94" t="s">
        <v>152</v>
      </c>
      <c r="B50" s="90" t="s">
        <v>73</v>
      </c>
      <c r="C50" s="91" t="s">
        <v>0</v>
      </c>
      <c r="D50" s="92">
        <v>2</v>
      </c>
      <c r="E50" s="50">
        <v>33.380000000000003</v>
      </c>
      <c r="F50" s="97">
        <f t="shared" ref="F50:F55" si="2">(E50*D50)</f>
        <v>66.760000000000005</v>
      </c>
    </row>
    <row r="51" spans="1:6" ht="15" x14ac:dyDescent="0.2">
      <c r="A51" s="94" t="s">
        <v>152</v>
      </c>
      <c r="B51" s="90" t="s">
        <v>74</v>
      </c>
      <c r="C51" s="91" t="s">
        <v>1</v>
      </c>
      <c r="D51" s="92">
        <v>230</v>
      </c>
      <c r="E51" s="97">
        <v>1.1000000000000001</v>
      </c>
      <c r="F51" s="97">
        <f t="shared" si="2"/>
        <v>253.00000000000003</v>
      </c>
    </row>
    <row r="52" spans="1:6" ht="15" x14ac:dyDescent="0.2">
      <c r="A52" s="94" t="s">
        <v>152</v>
      </c>
      <c r="B52" s="90" t="s">
        <v>75</v>
      </c>
      <c r="C52" s="91" t="s">
        <v>1</v>
      </c>
      <c r="D52" s="92">
        <v>60</v>
      </c>
      <c r="E52" s="50">
        <v>1.83</v>
      </c>
      <c r="F52" s="97">
        <f t="shared" si="2"/>
        <v>109.80000000000001</v>
      </c>
    </row>
    <row r="53" spans="1:6" ht="15" x14ac:dyDescent="0.2">
      <c r="A53" s="94" t="s">
        <v>152</v>
      </c>
      <c r="B53" s="90" t="s">
        <v>76</v>
      </c>
      <c r="C53" s="91" t="s">
        <v>1</v>
      </c>
      <c r="D53" s="92">
        <v>3</v>
      </c>
      <c r="E53" s="50">
        <v>9.69</v>
      </c>
      <c r="F53" s="97">
        <f t="shared" si="2"/>
        <v>29.07</v>
      </c>
    </row>
    <row r="54" spans="1:6" ht="15" x14ac:dyDescent="0.2">
      <c r="A54" s="94" t="s">
        <v>152</v>
      </c>
      <c r="B54" s="90" t="s">
        <v>77</v>
      </c>
      <c r="C54" s="91" t="s">
        <v>1</v>
      </c>
      <c r="D54" s="92">
        <v>2</v>
      </c>
      <c r="E54" s="50">
        <v>3.56</v>
      </c>
      <c r="F54" s="97">
        <f t="shared" si="2"/>
        <v>7.12</v>
      </c>
    </row>
    <row r="55" spans="1:6" ht="15" x14ac:dyDescent="0.2">
      <c r="A55" s="94" t="s">
        <v>152</v>
      </c>
      <c r="B55" s="90" t="s">
        <v>78</v>
      </c>
      <c r="C55" s="91" t="s">
        <v>1</v>
      </c>
      <c r="D55" s="92">
        <v>4</v>
      </c>
      <c r="E55" s="50">
        <v>1.18</v>
      </c>
      <c r="F55" s="97">
        <f t="shared" si="2"/>
        <v>4.72</v>
      </c>
    </row>
    <row r="56" spans="1:6" ht="15" x14ac:dyDescent="0.2">
      <c r="A56" s="50"/>
      <c r="B56" s="50"/>
      <c r="C56" s="50"/>
      <c r="D56" s="217" t="s">
        <v>269</v>
      </c>
      <c r="E56" s="217"/>
      <c r="F56" s="141">
        <f>SUM(F49:F55)</f>
        <v>1684.4699999999998</v>
      </c>
    </row>
    <row r="57" spans="1:6" ht="15" x14ac:dyDescent="0.2">
      <c r="A57" s="50"/>
      <c r="B57" s="50"/>
      <c r="C57" s="50"/>
      <c r="D57" s="50"/>
      <c r="E57" s="50"/>
      <c r="F57" s="50"/>
    </row>
    <row r="58" spans="1:6" ht="15" x14ac:dyDescent="0.2">
      <c r="A58" s="50"/>
      <c r="B58" s="50"/>
      <c r="C58" s="50"/>
      <c r="D58" s="50"/>
      <c r="E58" s="57" t="s">
        <v>83</v>
      </c>
      <c r="F58" s="141">
        <f>SUM(F26+F40+F56)</f>
        <v>2844.25</v>
      </c>
    </row>
  </sheetData>
  <mergeCells count="5">
    <mergeCell ref="B3:F3"/>
    <mergeCell ref="A1:F1"/>
    <mergeCell ref="D26:E26"/>
    <mergeCell ref="D40:E40"/>
    <mergeCell ref="D56:E5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="70" zoomScaleNormal="70" workbookViewId="0">
      <selection activeCell="F57" sqref="F57"/>
    </sheetView>
  </sheetViews>
  <sheetFormatPr defaultRowHeight="12.75" x14ac:dyDescent="0.2"/>
  <cols>
    <col min="1" max="1" width="14" customWidth="1"/>
    <col min="2" max="2" width="57.140625" customWidth="1"/>
    <col min="3" max="3" width="7" customWidth="1"/>
    <col min="4" max="4" width="10" customWidth="1"/>
    <col min="5" max="5" width="11.140625" customWidth="1"/>
    <col min="6" max="6" width="14.42578125" customWidth="1"/>
    <col min="8" max="8" width="10.28515625" customWidth="1"/>
    <col min="10" max="10" width="8.7109375" customWidth="1"/>
    <col min="11" max="11" width="8.42578125" customWidth="1"/>
  </cols>
  <sheetData>
    <row r="1" spans="1:20" ht="18.75" x14ac:dyDescent="0.2">
      <c r="A1" s="214" t="s">
        <v>431</v>
      </c>
      <c r="B1" s="214"/>
      <c r="C1" s="214"/>
      <c r="D1" s="214"/>
      <c r="E1" s="214"/>
      <c r="F1" s="214"/>
      <c r="L1" s="220"/>
      <c r="M1" s="220"/>
      <c r="N1" s="220"/>
      <c r="O1" s="220"/>
      <c r="P1" s="220"/>
      <c r="Q1" s="220"/>
      <c r="R1" s="184"/>
      <c r="S1" s="184"/>
      <c r="T1" s="146"/>
    </row>
    <row r="2" spans="1:20" ht="15" x14ac:dyDescent="0.2">
      <c r="A2" s="59"/>
      <c r="B2" s="59"/>
      <c r="C2" s="59"/>
      <c r="D2" s="59"/>
      <c r="E2" s="59"/>
      <c r="F2" s="59"/>
      <c r="L2" s="185"/>
      <c r="M2" s="186"/>
      <c r="N2" s="187"/>
      <c r="O2" s="187"/>
      <c r="P2" s="188"/>
      <c r="Q2" s="187"/>
      <c r="R2" s="187"/>
      <c r="S2" s="189"/>
      <c r="T2" s="146"/>
    </row>
    <row r="3" spans="1:20" ht="15" x14ac:dyDescent="0.2">
      <c r="A3" s="119" t="s">
        <v>423</v>
      </c>
      <c r="B3" s="213" t="s">
        <v>431</v>
      </c>
      <c r="C3" s="213"/>
      <c r="D3" s="213"/>
      <c r="E3" s="213"/>
      <c r="F3" s="213"/>
      <c r="L3" s="198"/>
      <c r="M3" s="190"/>
      <c r="N3" s="191"/>
      <c r="O3" s="174"/>
      <c r="P3" s="192"/>
      <c r="Q3" s="193"/>
      <c r="R3" s="194"/>
      <c r="S3" s="195"/>
      <c r="T3" s="146"/>
    </row>
    <row r="4" spans="1:20" ht="15" x14ac:dyDescent="0.25">
      <c r="A4" s="2"/>
      <c r="B4" s="88"/>
      <c r="C4" s="2"/>
      <c r="D4" s="2"/>
      <c r="E4" s="2"/>
      <c r="F4" s="2"/>
      <c r="I4" s="146"/>
      <c r="J4" s="146"/>
      <c r="K4" s="146"/>
      <c r="L4" s="198"/>
      <c r="M4" s="190"/>
      <c r="N4" s="191"/>
      <c r="O4" s="193"/>
      <c r="P4" s="192"/>
      <c r="Q4" s="193"/>
      <c r="R4" s="194"/>
      <c r="S4" s="196"/>
      <c r="T4" s="146"/>
    </row>
    <row r="5" spans="1:20" ht="14.25" x14ac:dyDescent="0.2">
      <c r="A5" s="52" t="s">
        <v>27</v>
      </c>
      <c r="B5" s="53" t="s">
        <v>28</v>
      </c>
      <c r="C5" s="53" t="s">
        <v>29</v>
      </c>
      <c r="D5" s="53" t="s">
        <v>30</v>
      </c>
      <c r="E5" s="53" t="s">
        <v>82</v>
      </c>
      <c r="F5" s="53" t="s">
        <v>83</v>
      </c>
      <c r="I5" s="146"/>
      <c r="J5" s="190"/>
      <c r="K5" s="191"/>
      <c r="L5" s="174"/>
      <c r="M5" s="192"/>
      <c r="N5" s="197"/>
      <c r="O5" s="193"/>
      <c r="P5" s="192"/>
      <c r="Q5" s="193"/>
      <c r="R5" s="194"/>
      <c r="S5" s="196"/>
      <c r="T5" s="146"/>
    </row>
    <row r="6" spans="1:20" ht="30" x14ac:dyDescent="0.2">
      <c r="A6" s="5" t="s">
        <v>441</v>
      </c>
      <c r="B6" s="136" t="s">
        <v>442</v>
      </c>
      <c r="C6" s="103" t="s">
        <v>21</v>
      </c>
      <c r="D6" s="105">
        <v>2</v>
      </c>
      <c r="E6" s="103">
        <f>ROUND(8.07*1.2619,2)</f>
        <v>10.18</v>
      </c>
      <c r="F6" s="103">
        <f>ROUND(D6*E6,2)</f>
        <v>20.36</v>
      </c>
      <c r="I6" s="209"/>
      <c r="J6" s="190"/>
      <c r="K6" s="191"/>
      <c r="L6" s="193"/>
      <c r="M6" s="192"/>
      <c r="N6" s="197"/>
      <c r="O6" s="193"/>
      <c r="P6" s="192"/>
      <c r="Q6" s="193"/>
      <c r="R6" s="194"/>
      <c r="S6" s="196"/>
      <c r="T6" s="146"/>
    </row>
    <row r="7" spans="1:20" ht="30" x14ac:dyDescent="0.2">
      <c r="A7" s="5" t="s">
        <v>170</v>
      </c>
      <c r="B7" s="136" t="s">
        <v>173</v>
      </c>
      <c r="C7" s="103" t="s">
        <v>21</v>
      </c>
      <c r="D7" s="105">
        <v>36</v>
      </c>
      <c r="E7" s="103">
        <f>ROUND(9.26*1.2619,2)</f>
        <v>11.69</v>
      </c>
      <c r="F7" s="103">
        <f t="shared" ref="F7:F53" si="0">ROUND(D7*E7,2)</f>
        <v>420.84</v>
      </c>
      <c r="I7" s="209"/>
      <c r="J7" s="190"/>
      <c r="K7" s="197"/>
      <c r="L7" s="193"/>
      <c r="M7" s="192"/>
      <c r="N7" s="191"/>
      <c r="O7" s="193"/>
      <c r="P7" s="192"/>
      <c r="Q7" s="193"/>
      <c r="R7" s="194"/>
      <c r="S7" s="196"/>
      <c r="T7" s="146"/>
    </row>
    <row r="8" spans="1:20" ht="30" x14ac:dyDescent="0.2">
      <c r="A8" s="5" t="s">
        <v>181</v>
      </c>
      <c r="B8" s="136" t="s">
        <v>192</v>
      </c>
      <c r="C8" s="103" t="s">
        <v>26</v>
      </c>
      <c r="D8" s="105">
        <v>4</v>
      </c>
      <c r="E8" s="103">
        <f>ROUND(2.57*1.2619,2)</f>
        <v>3.24</v>
      </c>
      <c r="F8" s="103">
        <f t="shared" si="0"/>
        <v>12.96</v>
      </c>
      <c r="I8" s="209"/>
      <c r="J8" s="190"/>
      <c r="K8" s="197"/>
      <c r="L8" s="193"/>
      <c r="M8" s="192"/>
      <c r="N8" s="197"/>
      <c r="O8" s="193"/>
      <c r="P8" s="192"/>
      <c r="Q8" s="193"/>
      <c r="R8" s="194"/>
      <c r="S8" s="196"/>
      <c r="T8" s="146"/>
    </row>
    <row r="9" spans="1:20" ht="30" x14ac:dyDescent="0.2">
      <c r="A9" s="5" t="s">
        <v>116</v>
      </c>
      <c r="B9" s="136" t="s">
        <v>120</v>
      </c>
      <c r="C9" s="103" t="s">
        <v>26</v>
      </c>
      <c r="D9" s="105">
        <v>12</v>
      </c>
      <c r="E9" s="103">
        <f>ROUND(33.6*1.2619,2)</f>
        <v>42.4</v>
      </c>
      <c r="F9" s="103">
        <f t="shared" si="0"/>
        <v>508.8</v>
      </c>
      <c r="I9" s="209"/>
      <c r="J9" s="190"/>
      <c r="K9" s="197"/>
      <c r="L9" s="193"/>
      <c r="M9" s="192"/>
      <c r="N9" s="202"/>
      <c r="O9" s="203"/>
      <c r="P9" s="204"/>
      <c r="Q9" s="204"/>
      <c r="R9" s="205"/>
      <c r="S9" s="205"/>
      <c r="T9" s="146"/>
    </row>
    <row r="10" spans="1:20" ht="30" x14ac:dyDescent="0.2">
      <c r="A10" s="5" t="s">
        <v>443</v>
      </c>
      <c r="B10" s="136" t="s">
        <v>444</v>
      </c>
      <c r="C10" s="103" t="s">
        <v>26</v>
      </c>
      <c r="D10" s="105">
        <v>9</v>
      </c>
      <c r="E10" s="103">
        <f>ROUND(89.85*1.2619,2)</f>
        <v>113.38</v>
      </c>
      <c r="F10" s="103">
        <f t="shared" si="0"/>
        <v>1020.42</v>
      </c>
      <c r="I10" s="146"/>
      <c r="J10" s="186"/>
      <c r="K10" s="202"/>
      <c r="L10" s="203"/>
      <c r="M10" s="204"/>
      <c r="N10" s="206"/>
      <c r="O10" s="175"/>
      <c r="P10" s="175"/>
      <c r="Q10" s="175"/>
      <c r="R10" s="194"/>
      <c r="S10" s="195"/>
      <c r="T10" s="146"/>
    </row>
    <row r="11" spans="1:20" ht="30" x14ac:dyDescent="0.2">
      <c r="A11" s="5" t="s">
        <v>106</v>
      </c>
      <c r="B11" s="136" t="s">
        <v>428</v>
      </c>
      <c r="C11" s="103" t="s">
        <v>21</v>
      </c>
      <c r="D11" s="105">
        <v>60</v>
      </c>
      <c r="E11" s="103">
        <f>ROUND(53.38*1.2619,2)</f>
        <v>67.36</v>
      </c>
      <c r="F11" s="103">
        <f t="shared" si="0"/>
        <v>4041.6</v>
      </c>
      <c r="I11" s="209"/>
      <c r="J11" s="199"/>
      <c r="K11" s="200"/>
      <c r="L11" s="160"/>
      <c r="M11" s="161"/>
      <c r="N11" s="200"/>
      <c r="O11" s="159"/>
      <c r="P11" s="175"/>
      <c r="Q11" s="161"/>
      <c r="R11" s="194"/>
      <c r="S11" s="194"/>
      <c r="T11" s="146"/>
    </row>
    <row r="12" spans="1:20" ht="30" x14ac:dyDescent="0.2">
      <c r="A12" s="5" t="s">
        <v>443</v>
      </c>
      <c r="B12" s="136" t="s">
        <v>445</v>
      </c>
      <c r="C12" s="103" t="s">
        <v>26</v>
      </c>
      <c r="D12" s="105">
        <v>5</v>
      </c>
      <c r="E12" s="103">
        <f>ROUND(89.85*1.2619,2)</f>
        <v>113.38</v>
      </c>
      <c r="F12" s="103">
        <f t="shared" si="0"/>
        <v>566.9</v>
      </c>
      <c r="I12" s="209"/>
      <c r="J12" s="199"/>
      <c r="K12" s="200"/>
      <c r="L12" s="160"/>
      <c r="M12" s="161"/>
      <c r="N12" s="200"/>
      <c r="O12" s="159"/>
      <c r="P12" s="175"/>
      <c r="Q12" s="161"/>
      <c r="R12" s="194"/>
      <c r="S12" s="194"/>
      <c r="T12" s="146"/>
    </row>
    <row r="13" spans="1:20" ht="30" x14ac:dyDescent="0.2">
      <c r="A13" s="5" t="s">
        <v>204</v>
      </c>
      <c r="B13" s="136" t="s">
        <v>446</v>
      </c>
      <c r="C13" s="103" t="s">
        <v>26</v>
      </c>
      <c r="D13" s="105">
        <v>2</v>
      </c>
      <c r="E13" s="103">
        <f>ROUND(112.86*1.2619,2)</f>
        <v>142.41999999999999</v>
      </c>
      <c r="F13" s="103">
        <f t="shared" si="0"/>
        <v>284.83999999999997</v>
      </c>
      <c r="I13" s="209"/>
      <c r="J13" s="199"/>
      <c r="K13" s="200"/>
      <c r="L13" s="160"/>
      <c r="M13" s="161"/>
      <c r="N13" s="200"/>
      <c r="O13" s="159"/>
      <c r="P13" s="175"/>
      <c r="Q13" s="161"/>
      <c r="R13" s="194"/>
      <c r="S13" s="194"/>
      <c r="T13" s="146"/>
    </row>
    <row r="14" spans="1:20" ht="15" x14ac:dyDescent="0.2">
      <c r="A14" s="5" t="s">
        <v>206</v>
      </c>
      <c r="B14" s="136" t="s">
        <v>207</v>
      </c>
      <c r="C14" s="103" t="s">
        <v>26</v>
      </c>
      <c r="D14" s="105">
        <v>1</v>
      </c>
      <c r="E14" s="103">
        <f>ROUND(183.4*1.2619,2)</f>
        <v>231.43</v>
      </c>
      <c r="F14" s="103">
        <f t="shared" si="0"/>
        <v>231.43</v>
      </c>
      <c r="I14" s="209"/>
      <c r="J14" s="199"/>
      <c r="K14" s="200"/>
      <c r="L14" s="160"/>
      <c r="M14" s="161"/>
      <c r="N14" s="200"/>
      <c r="O14" s="159"/>
      <c r="P14" s="175"/>
      <c r="Q14" s="161"/>
      <c r="R14" s="194"/>
      <c r="S14" s="194"/>
      <c r="T14" s="146"/>
    </row>
    <row r="15" spans="1:20" ht="45" x14ac:dyDescent="0.2">
      <c r="A15" s="5" t="s">
        <v>402</v>
      </c>
      <c r="B15" s="136" t="s">
        <v>403</v>
      </c>
      <c r="C15" s="103" t="s">
        <v>26</v>
      </c>
      <c r="D15" s="105">
        <v>2</v>
      </c>
      <c r="E15" s="103">
        <f>ROUND(18.34*1.2619,2)</f>
        <v>23.14</v>
      </c>
      <c r="F15" s="103">
        <f t="shared" si="0"/>
        <v>46.28</v>
      </c>
      <c r="I15" s="209"/>
      <c r="J15" s="199"/>
      <c r="K15" s="200"/>
      <c r="L15" s="160"/>
      <c r="M15" s="161"/>
      <c r="N15" s="200"/>
      <c r="O15" s="159"/>
      <c r="P15" s="175"/>
      <c r="Q15" s="161"/>
      <c r="R15" s="194"/>
      <c r="S15" s="194"/>
      <c r="T15" s="146"/>
    </row>
    <row r="16" spans="1:20" ht="15" x14ac:dyDescent="0.2">
      <c r="A16" s="5" t="s">
        <v>152</v>
      </c>
      <c r="B16" s="136" t="s">
        <v>432</v>
      </c>
      <c r="C16" s="103" t="s">
        <v>26</v>
      </c>
      <c r="D16" s="105">
        <v>2</v>
      </c>
      <c r="E16" s="103">
        <v>39.26</v>
      </c>
      <c r="F16" s="103">
        <f t="shared" si="0"/>
        <v>78.52</v>
      </c>
      <c r="I16" s="209"/>
      <c r="J16" s="199"/>
      <c r="K16" s="200"/>
      <c r="L16" s="160"/>
      <c r="M16" s="161"/>
      <c r="N16" s="200"/>
      <c r="O16" s="159"/>
      <c r="P16" s="175"/>
      <c r="Q16" s="161"/>
      <c r="R16" s="194"/>
      <c r="S16" s="194"/>
      <c r="T16" s="146"/>
    </row>
    <row r="17" spans="1:20" ht="30" x14ac:dyDescent="0.2">
      <c r="A17" s="5" t="s">
        <v>208</v>
      </c>
      <c r="B17" s="124" t="s">
        <v>456</v>
      </c>
      <c r="C17" s="103" t="s">
        <v>26</v>
      </c>
      <c r="D17" s="105">
        <v>4</v>
      </c>
      <c r="E17" s="103">
        <f>ROUND(423.14*1.2619,2)</f>
        <v>533.96</v>
      </c>
      <c r="F17" s="103">
        <f t="shared" si="0"/>
        <v>2135.84</v>
      </c>
      <c r="I17" s="209"/>
      <c r="J17" s="199"/>
      <c r="K17" s="200"/>
      <c r="L17" s="160"/>
      <c r="M17" s="161"/>
      <c r="N17" s="200"/>
      <c r="O17" s="159"/>
      <c r="P17" s="175"/>
      <c r="Q17" s="161"/>
      <c r="R17" s="194"/>
      <c r="S17" s="194"/>
      <c r="T17" s="146"/>
    </row>
    <row r="18" spans="1:20" ht="30" x14ac:dyDescent="0.2">
      <c r="A18" s="5" t="s">
        <v>457</v>
      </c>
      <c r="B18" s="136" t="s">
        <v>458</v>
      </c>
      <c r="C18" s="103" t="s">
        <v>26</v>
      </c>
      <c r="D18" s="105">
        <v>1</v>
      </c>
      <c r="E18" s="103">
        <f>ROUND(83.08*1.2619,2)</f>
        <v>104.84</v>
      </c>
      <c r="F18" s="103">
        <f t="shared" si="0"/>
        <v>104.84</v>
      </c>
      <c r="G18" s="45"/>
      <c r="I18" s="209"/>
      <c r="J18" s="199"/>
      <c r="K18" s="200"/>
      <c r="L18" s="160"/>
      <c r="M18" s="161"/>
      <c r="N18" s="200"/>
      <c r="O18" s="159"/>
      <c r="P18" s="175"/>
      <c r="Q18" s="161"/>
      <c r="R18" s="194"/>
      <c r="S18" s="194"/>
      <c r="T18" s="146"/>
    </row>
    <row r="19" spans="1:20" ht="15" x14ac:dyDescent="0.2">
      <c r="A19" s="5" t="s">
        <v>152</v>
      </c>
      <c r="B19" s="136" t="s">
        <v>433</v>
      </c>
      <c r="C19" s="103" t="s">
        <v>26</v>
      </c>
      <c r="D19" s="105">
        <v>2</v>
      </c>
      <c r="E19" s="105">
        <v>199</v>
      </c>
      <c r="F19" s="105">
        <f t="shared" si="0"/>
        <v>398</v>
      </c>
      <c r="I19" s="209"/>
      <c r="J19" s="199"/>
      <c r="K19" s="200"/>
      <c r="L19" s="160"/>
      <c r="M19" s="161"/>
      <c r="N19" s="200"/>
      <c r="O19" s="159"/>
      <c r="P19" s="175"/>
      <c r="Q19" s="161"/>
      <c r="R19" s="194"/>
      <c r="S19" s="194"/>
      <c r="T19" s="146"/>
    </row>
    <row r="20" spans="1:20" ht="15" x14ac:dyDescent="0.2">
      <c r="A20" s="5" t="s">
        <v>472</v>
      </c>
      <c r="B20" s="136" t="s">
        <v>172</v>
      </c>
      <c r="C20" s="103" t="s">
        <v>21</v>
      </c>
      <c r="D20" s="105">
        <v>4</v>
      </c>
      <c r="E20" s="103">
        <f>ROUND(19.05*1.2619,2)</f>
        <v>24.04</v>
      </c>
      <c r="F20" s="103">
        <f>ROUND(D20*E20,2)</f>
        <v>96.16</v>
      </c>
      <c r="G20" s="45"/>
      <c r="I20" s="209"/>
      <c r="J20" s="199"/>
      <c r="K20" s="200"/>
      <c r="L20" s="160"/>
      <c r="M20" s="161"/>
      <c r="N20" s="200"/>
      <c r="O20" s="159"/>
      <c r="P20" s="175"/>
      <c r="Q20" s="161"/>
      <c r="R20" s="194"/>
      <c r="S20" s="194"/>
      <c r="T20" s="146"/>
    </row>
    <row r="21" spans="1:20" ht="15" x14ac:dyDescent="0.2">
      <c r="A21" s="5" t="s">
        <v>152</v>
      </c>
      <c r="B21" s="124" t="s">
        <v>434</v>
      </c>
      <c r="C21" s="103" t="s">
        <v>26</v>
      </c>
      <c r="D21" s="105">
        <v>1</v>
      </c>
      <c r="E21" s="105">
        <v>21</v>
      </c>
      <c r="F21" s="103">
        <f>ROUND(D21*E20,2)</f>
        <v>24.04</v>
      </c>
      <c r="I21" s="209"/>
      <c r="J21" s="199"/>
      <c r="K21" s="200"/>
      <c r="L21" s="160"/>
      <c r="M21" s="161"/>
      <c r="N21" s="200"/>
      <c r="O21" s="159"/>
      <c r="P21" s="175"/>
      <c r="Q21" s="161"/>
      <c r="R21" s="194"/>
      <c r="S21" s="194"/>
      <c r="T21" s="146"/>
    </row>
    <row r="22" spans="1:20" ht="30" x14ac:dyDescent="0.2">
      <c r="A22" s="5" t="s">
        <v>186</v>
      </c>
      <c r="B22" s="136" t="s">
        <v>463</v>
      </c>
      <c r="C22" s="103" t="s">
        <v>26</v>
      </c>
      <c r="D22" s="105">
        <v>6</v>
      </c>
      <c r="E22" s="103">
        <f>ROUND(45.99*1.2619,2)</f>
        <v>58.03</v>
      </c>
      <c r="F22" s="103">
        <f t="shared" si="0"/>
        <v>348.18</v>
      </c>
      <c r="G22" s="45"/>
      <c r="I22" s="209"/>
      <c r="J22" s="199"/>
      <c r="K22" s="200"/>
      <c r="L22" s="160"/>
      <c r="M22" s="161"/>
      <c r="N22" s="200"/>
      <c r="O22" s="159"/>
      <c r="P22" s="175"/>
      <c r="Q22" s="161"/>
      <c r="R22" s="194"/>
      <c r="S22" s="194"/>
      <c r="T22" s="146"/>
    </row>
    <row r="23" spans="1:20" ht="14.25" customHeight="1" x14ac:dyDescent="0.2">
      <c r="A23" s="5" t="s">
        <v>473</v>
      </c>
      <c r="B23" s="136" t="s">
        <v>475</v>
      </c>
      <c r="C23" s="103" t="s">
        <v>26</v>
      </c>
      <c r="D23" s="105">
        <v>1</v>
      </c>
      <c r="E23" s="103">
        <f>ROUND(5.2*1.2619,2)</f>
        <v>6.56</v>
      </c>
      <c r="F23" s="103">
        <f>ROUND(D23*E23,2)</f>
        <v>6.56</v>
      </c>
      <c r="G23" s="45"/>
      <c r="I23" s="209"/>
      <c r="J23" s="199"/>
      <c r="K23" s="200"/>
      <c r="L23" s="160"/>
      <c r="M23" s="161"/>
      <c r="N23" s="200"/>
      <c r="O23" s="159"/>
      <c r="P23" s="175"/>
      <c r="Q23" s="161"/>
      <c r="R23" s="194"/>
      <c r="S23" s="194"/>
      <c r="T23" s="146"/>
    </row>
    <row r="24" spans="1:20" ht="30" x14ac:dyDescent="0.2">
      <c r="A24" s="5" t="s">
        <v>476</v>
      </c>
      <c r="B24" s="136" t="s">
        <v>190</v>
      </c>
      <c r="C24" s="103" t="s">
        <v>26</v>
      </c>
      <c r="D24" s="105">
        <v>1</v>
      </c>
      <c r="E24" s="103">
        <f>ROUND(10.51*1.2619,2)</f>
        <v>13.26</v>
      </c>
      <c r="F24" s="103">
        <f>ROUND(D24*E24,2)</f>
        <v>13.26</v>
      </c>
      <c r="G24" s="45"/>
      <c r="I24" s="209"/>
      <c r="J24" s="199"/>
      <c r="K24" s="200"/>
      <c r="L24" s="160"/>
      <c r="M24" s="161"/>
      <c r="N24" s="200"/>
      <c r="O24" s="159"/>
      <c r="P24" s="175"/>
      <c r="Q24" s="161"/>
      <c r="R24" s="194"/>
      <c r="S24" s="194"/>
      <c r="T24" s="146"/>
    </row>
    <row r="25" spans="1:20" ht="14.25" customHeight="1" x14ac:dyDescent="0.2">
      <c r="A25" s="5" t="s">
        <v>459</v>
      </c>
      <c r="B25" s="136" t="s">
        <v>189</v>
      </c>
      <c r="C25" s="103" t="s">
        <v>26</v>
      </c>
      <c r="D25" s="105">
        <v>4</v>
      </c>
      <c r="E25" s="103">
        <f>ROUND(3.69*1.2619,2)</f>
        <v>4.66</v>
      </c>
      <c r="F25" s="103">
        <f t="shared" si="0"/>
        <v>18.64</v>
      </c>
      <c r="G25" s="45"/>
      <c r="I25" s="209"/>
      <c r="J25" s="199"/>
      <c r="K25" s="200"/>
      <c r="L25" s="160"/>
      <c r="M25" s="161"/>
      <c r="N25" s="200"/>
      <c r="O25" s="159"/>
      <c r="P25" s="175"/>
      <c r="Q25" s="161"/>
      <c r="R25" s="194"/>
      <c r="S25" s="194"/>
      <c r="T25" s="146"/>
    </row>
    <row r="26" spans="1:20" ht="31.5" customHeight="1" x14ac:dyDescent="0.2">
      <c r="A26" s="5" t="s">
        <v>474</v>
      </c>
      <c r="B26" s="136" t="s">
        <v>193</v>
      </c>
      <c r="C26" s="103" t="s">
        <v>26</v>
      </c>
      <c r="D26" s="105">
        <v>1</v>
      </c>
      <c r="E26" s="103">
        <f>ROUND(7.04*1.2619,2)</f>
        <v>8.8800000000000008</v>
      </c>
      <c r="F26" s="103">
        <f t="shared" si="0"/>
        <v>8.8800000000000008</v>
      </c>
      <c r="G26" s="45"/>
      <c r="I26" s="209"/>
      <c r="J26" s="199"/>
      <c r="K26" s="200"/>
      <c r="L26" s="160"/>
      <c r="M26" s="161"/>
      <c r="N26" s="200"/>
      <c r="O26" s="159"/>
      <c r="P26" s="175"/>
      <c r="Q26" s="161"/>
      <c r="R26" s="194"/>
      <c r="S26" s="194"/>
      <c r="T26" s="146"/>
    </row>
    <row r="27" spans="1:20" ht="14.25" customHeight="1" x14ac:dyDescent="0.2">
      <c r="A27" s="5" t="s">
        <v>152</v>
      </c>
      <c r="B27" s="124" t="s">
        <v>336</v>
      </c>
      <c r="C27" s="103" t="s">
        <v>21</v>
      </c>
      <c r="D27" s="105">
        <v>18</v>
      </c>
      <c r="E27" s="103">
        <v>2.72</v>
      </c>
      <c r="F27" s="103">
        <f t="shared" si="0"/>
        <v>48.96</v>
      </c>
      <c r="I27" s="209"/>
      <c r="J27" s="199"/>
      <c r="K27" s="200"/>
      <c r="L27" s="160"/>
      <c r="M27" s="161"/>
      <c r="N27" s="200"/>
      <c r="O27" s="159"/>
      <c r="P27" s="175"/>
      <c r="Q27" s="161"/>
      <c r="R27" s="194"/>
      <c r="S27" s="194"/>
      <c r="T27" s="146"/>
    </row>
    <row r="28" spans="1:20" ht="36" customHeight="1" x14ac:dyDescent="0.2">
      <c r="A28" s="5" t="s">
        <v>478</v>
      </c>
      <c r="B28" s="124" t="s">
        <v>479</v>
      </c>
      <c r="C28" s="103" t="s">
        <v>21</v>
      </c>
      <c r="D28" s="105">
        <v>16</v>
      </c>
      <c r="E28" s="103">
        <f>ROUND(7.08*1.2619,2)</f>
        <v>8.93</v>
      </c>
      <c r="F28" s="103">
        <f t="shared" si="0"/>
        <v>142.88</v>
      </c>
      <c r="I28" s="209"/>
      <c r="J28" s="199"/>
      <c r="K28" s="200"/>
      <c r="L28" s="160"/>
      <c r="M28" s="161"/>
      <c r="N28" s="200"/>
      <c r="O28" s="159"/>
      <c r="P28" s="175"/>
      <c r="Q28" s="161"/>
      <c r="R28" s="194"/>
      <c r="S28" s="194"/>
      <c r="T28" s="146"/>
    </row>
    <row r="29" spans="1:20" ht="14.25" customHeight="1" x14ac:dyDescent="0.2">
      <c r="A29" s="5" t="s">
        <v>152</v>
      </c>
      <c r="B29" s="136" t="s">
        <v>333</v>
      </c>
      <c r="C29" s="103" t="s">
        <v>26</v>
      </c>
      <c r="D29" s="105">
        <v>5</v>
      </c>
      <c r="E29" s="103">
        <v>5.05</v>
      </c>
      <c r="F29" s="103">
        <f t="shared" si="0"/>
        <v>25.25</v>
      </c>
      <c r="I29" s="209"/>
      <c r="J29" s="199"/>
      <c r="K29" s="200"/>
      <c r="L29" s="160"/>
      <c r="M29" s="161"/>
      <c r="N29" s="200"/>
      <c r="O29" s="159"/>
      <c r="P29" s="175"/>
      <c r="Q29" s="161"/>
      <c r="R29" s="194"/>
      <c r="S29" s="194"/>
      <c r="T29" s="146"/>
    </row>
    <row r="30" spans="1:20" ht="14.25" customHeight="1" x14ac:dyDescent="0.2">
      <c r="A30" s="5" t="s">
        <v>480</v>
      </c>
      <c r="B30" s="124" t="s">
        <v>481</v>
      </c>
      <c r="C30" s="103" t="s">
        <v>21</v>
      </c>
      <c r="D30" s="105">
        <v>1.5</v>
      </c>
      <c r="E30" s="103">
        <v>73.05</v>
      </c>
      <c r="F30" s="103">
        <f t="shared" si="0"/>
        <v>109.58</v>
      </c>
      <c r="I30" s="209"/>
      <c r="J30" s="199"/>
      <c r="K30" s="200"/>
      <c r="L30" s="160"/>
      <c r="M30" s="161"/>
      <c r="N30" s="200"/>
      <c r="O30" s="159"/>
      <c r="P30" s="175"/>
      <c r="Q30" s="161"/>
      <c r="R30" s="194"/>
      <c r="S30" s="194"/>
      <c r="T30" s="146"/>
    </row>
    <row r="31" spans="1:20" ht="30.75" customHeight="1" x14ac:dyDescent="0.2">
      <c r="A31" s="5" t="s">
        <v>454</v>
      </c>
      <c r="B31" s="124" t="s">
        <v>455</v>
      </c>
      <c r="C31" s="103" t="s">
        <v>26</v>
      </c>
      <c r="D31" s="105">
        <v>2</v>
      </c>
      <c r="E31" s="103">
        <f>ROUND(80.88*1.2619,2)</f>
        <v>102.06</v>
      </c>
      <c r="F31" s="103">
        <f t="shared" si="0"/>
        <v>204.12</v>
      </c>
      <c r="I31" s="209"/>
      <c r="J31" s="199"/>
      <c r="K31" s="200"/>
      <c r="L31" s="160"/>
      <c r="M31" s="161"/>
      <c r="N31" s="200"/>
      <c r="O31" s="159"/>
      <c r="P31" s="175"/>
      <c r="Q31" s="161"/>
      <c r="R31" s="194"/>
      <c r="S31" s="194"/>
      <c r="T31" s="146"/>
    </row>
    <row r="32" spans="1:20" ht="14.25" customHeight="1" x14ac:dyDescent="0.2">
      <c r="A32" s="5" t="s">
        <v>152</v>
      </c>
      <c r="B32" s="124" t="s">
        <v>435</v>
      </c>
      <c r="C32" s="103" t="s">
        <v>21</v>
      </c>
      <c r="D32" s="105">
        <v>36</v>
      </c>
      <c r="E32" s="108">
        <v>41.5</v>
      </c>
      <c r="F32" s="103">
        <f t="shared" si="0"/>
        <v>1494</v>
      </c>
      <c r="I32" s="209"/>
      <c r="J32" s="199"/>
      <c r="K32" s="200"/>
      <c r="L32" s="160"/>
      <c r="M32" s="161"/>
      <c r="N32" s="200"/>
      <c r="O32" s="159"/>
      <c r="P32" s="175"/>
      <c r="Q32" s="161"/>
      <c r="R32" s="194"/>
      <c r="S32" s="194"/>
      <c r="T32" s="146"/>
    </row>
    <row r="33" spans="1:20" ht="14.25" customHeight="1" x14ac:dyDescent="0.2">
      <c r="A33" s="5" t="s">
        <v>152</v>
      </c>
      <c r="B33" s="136" t="s">
        <v>436</v>
      </c>
      <c r="C33" s="103" t="s">
        <v>26</v>
      </c>
      <c r="D33" s="105">
        <v>2</v>
      </c>
      <c r="E33" s="103">
        <v>87.9</v>
      </c>
      <c r="F33" s="105">
        <f t="shared" si="0"/>
        <v>175.8</v>
      </c>
      <c r="I33" s="209"/>
      <c r="J33" s="199"/>
      <c r="K33" s="200"/>
      <c r="L33" s="160"/>
      <c r="M33" s="161"/>
      <c r="N33" s="200"/>
      <c r="O33" s="159"/>
      <c r="P33" s="175"/>
      <c r="Q33" s="161"/>
      <c r="R33" s="194"/>
      <c r="S33" s="194"/>
      <c r="T33" s="146"/>
    </row>
    <row r="34" spans="1:20" ht="14.25" customHeight="1" x14ac:dyDescent="0.2">
      <c r="A34" s="5" t="s">
        <v>152</v>
      </c>
      <c r="B34" s="136" t="s">
        <v>437</v>
      </c>
      <c r="C34" s="103" t="s">
        <v>26</v>
      </c>
      <c r="D34" s="105">
        <v>1</v>
      </c>
      <c r="E34" s="103">
        <v>39.99</v>
      </c>
      <c r="F34" s="103">
        <f t="shared" si="0"/>
        <v>39.99</v>
      </c>
      <c r="I34" s="209"/>
      <c r="J34" s="199"/>
      <c r="K34" s="200"/>
      <c r="L34" s="160"/>
      <c r="M34" s="161"/>
      <c r="N34" s="200"/>
      <c r="O34" s="159"/>
      <c r="P34" s="175"/>
      <c r="Q34" s="161"/>
      <c r="R34" s="194"/>
      <c r="S34" s="194"/>
      <c r="T34" s="146"/>
    </row>
    <row r="35" spans="1:20" ht="14.25" customHeight="1" x14ac:dyDescent="0.2">
      <c r="A35" s="5" t="s">
        <v>152</v>
      </c>
      <c r="B35" s="124" t="s">
        <v>328</v>
      </c>
      <c r="C35" s="103" t="s">
        <v>21</v>
      </c>
      <c r="D35" s="105">
        <v>4</v>
      </c>
      <c r="E35" s="105">
        <v>8.3000000000000007</v>
      </c>
      <c r="F35" s="103">
        <f t="shared" si="0"/>
        <v>33.200000000000003</v>
      </c>
      <c r="I35" s="209"/>
      <c r="J35" s="199"/>
      <c r="K35" s="200"/>
      <c r="L35" s="160"/>
      <c r="M35" s="161"/>
      <c r="N35" s="200"/>
      <c r="O35" s="159"/>
      <c r="P35" s="175"/>
      <c r="Q35" s="161"/>
      <c r="R35" s="194"/>
      <c r="S35" s="194"/>
      <c r="T35" s="146"/>
    </row>
    <row r="36" spans="1:20" ht="45" x14ac:dyDescent="0.2">
      <c r="A36" s="5" t="s">
        <v>477</v>
      </c>
      <c r="B36" s="136" t="s">
        <v>403</v>
      </c>
      <c r="C36" s="103" t="s">
        <v>26</v>
      </c>
      <c r="D36" s="105">
        <v>1</v>
      </c>
      <c r="E36" s="103">
        <f>ROUND(18.34*1.2619,2)</f>
        <v>23.14</v>
      </c>
      <c r="F36" s="103">
        <f t="shared" si="0"/>
        <v>23.14</v>
      </c>
      <c r="G36" s="45"/>
      <c r="I36" s="209"/>
      <c r="J36" s="199"/>
      <c r="K36" s="200"/>
      <c r="L36" s="160"/>
      <c r="M36" s="161"/>
      <c r="N36" s="200"/>
      <c r="O36" s="159"/>
      <c r="P36" s="175"/>
      <c r="Q36" s="161"/>
      <c r="R36" s="194"/>
      <c r="S36" s="194"/>
      <c r="T36" s="146"/>
    </row>
    <row r="37" spans="1:20" ht="14.25" customHeight="1" x14ac:dyDescent="0.2">
      <c r="A37" s="5" t="s">
        <v>152</v>
      </c>
      <c r="B37" s="136" t="s">
        <v>438</v>
      </c>
      <c r="C37" s="103" t="s">
        <v>26</v>
      </c>
      <c r="D37" s="105">
        <v>3</v>
      </c>
      <c r="E37" s="103">
        <v>6.09</v>
      </c>
      <c r="F37" s="103">
        <f t="shared" si="0"/>
        <v>18.27</v>
      </c>
      <c r="I37" s="209"/>
      <c r="J37" s="199"/>
      <c r="K37" s="200"/>
      <c r="L37" s="160"/>
      <c r="M37" s="161"/>
      <c r="N37" s="200"/>
      <c r="O37" s="159"/>
      <c r="P37" s="175"/>
      <c r="Q37" s="161"/>
      <c r="R37" s="194"/>
      <c r="S37" s="194"/>
      <c r="T37" s="146"/>
    </row>
    <row r="38" spans="1:20" ht="14.25" customHeight="1" x14ac:dyDescent="0.2">
      <c r="A38" s="5" t="s">
        <v>152</v>
      </c>
      <c r="B38" s="124" t="s">
        <v>451</v>
      </c>
      <c r="C38" s="103" t="s">
        <v>21</v>
      </c>
      <c r="D38" s="105">
        <v>96</v>
      </c>
      <c r="E38" s="103">
        <v>7.15</v>
      </c>
      <c r="F38" s="103">
        <f t="shared" si="0"/>
        <v>686.4</v>
      </c>
      <c r="I38" s="209"/>
      <c r="J38" s="199"/>
      <c r="K38" s="200"/>
      <c r="L38" s="160"/>
      <c r="M38" s="161"/>
      <c r="N38" s="200"/>
      <c r="O38" s="159"/>
      <c r="P38" s="175"/>
      <c r="Q38" s="161"/>
      <c r="R38" s="194"/>
      <c r="S38" s="194"/>
      <c r="T38" s="146"/>
    </row>
    <row r="39" spans="1:20" ht="14.25" customHeight="1" x14ac:dyDescent="0.2">
      <c r="A39" s="5" t="s">
        <v>152</v>
      </c>
      <c r="B39" s="136" t="s">
        <v>439</v>
      </c>
      <c r="C39" s="103" t="s">
        <v>26</v>
      </c>
      <c r="D39" s="105">
        <v>1</v>
      </c>
      <c r="E39" s="103">
        <v>18.940000000000001</v>
      </c>
      <c r="F39" s="103">
        <f t="shared" si="0"/>
        <v>18.940000000000001</v>
      </c>
      <c r="I39" s="209"/>
      <c r="J39" s="199"/>
      <c r="K39" s="200"/>
      <c r="L39" s="160"/>
      <c r="M39" s="161"/>
      <c r="N39" s="200"/>
      <c r="O39" s="159"/>
      <c r="P39" s="175"/>
      <c r="Q39" s="161"/>
      <c r="R39" s="194"/>
      <c r="S39" s="194"/>
      <c r="T39" s="146"/>
    </row>
    <row r="40" spans="1:20" ht="14.25" customHeight="1" x14ac:dyDescent="0.2">
      <c r="A40" s="5" t="s">
        <v>152</v>
      </c>
      <c r="B40" s="124" t="s">
        <v>452</v>
      </c>
      <c r="C40" s="103" t="s">
        <v>26</v>
      </c>
      <c r="D40" s="105">
        <v>1</v>
      </c>
      <c r="E40" s="103">
        <v>10.94</v>
      </c>
      <c r="F40" s="103">
        <f t="shared" si="0"/>
        <v>10.94</v>
      </c>
      <c r="I40" s="209"/>
      <c r="J40" s="199"/>
      <c r="K40" s="200"/>
      <c r="L40" s="160"/>
      <c r="M40" s="161"/>
      <c r="N40" s="200"/>
      <c r="O40" s="159"/>
      <c r="P40" s="175"/>
      <c r="Q40" s="161"/>
      <c r="R40" s="194"/>
      <c r="S40" s="194"/>
      <c r="T40" s="146"/>
    </row>
    <row r="41" spans="1:20" ht="14.25" customHeight="1" x14ac:dyDescent="0.2">
      <c r="A41" s="5" t="s">
        <v>180</v>
      </c>
      <c r="B41" s="136" t="s">
        <v>191</v>
      </c>
      <c r="C41" s="103" t="s">
        <v>26</v>
      </c>
      <c r="D41" s="105">
        <v>3</v>
      </c>
      <c r="E41" s="103">
        <f>ROUND(20.67*1.2619,2)</f>
        <v>26.08</v>
      </c>
      <c r="F41" s="103">
        <f t="shared" si="0"/>
        <v>78.239999999999995</v>
      </c>
      <c r="G41" s="45"/>
      <c r="I41" s="209"/>
      <c r="J41" s="199"/>
      <c r="K41" s="200"/>
      <c r="L41" s="160"/>
      <c r="M41" s="161"/>
      <c r="N41" s="200"/>
      <c r="O41" s="159"/>
      <c r="P41" s="175"/>
      <c r="Q41" s="161"/>
      <c r="R41" s="194"/>
      <c r="S41" s="194"/>
      <c r="T41" s="146"/>
    </row>
    <row r="42" spans="1:20" ht="18" customHeight="1" x14ac:dyDescent="0.2">
      <c r="A42" s="5" t="s">
        <v>460</v>
      </c>
      <c r="B42" s="136" t="s">
        <v>244</v>
      </c>
      <c r="C42" s="103" t="s">
        <v>26</v>
      </c>
      <c r="D42" s="105">
        <v>1</v>
      </c>
      <c r="E42" s="103">
        <f>ROUND(20.72*1.2619,2)</f>
        <v>26.15</v>
      </c>
      <c r="F42" s="103">
        <f t="shared" si="0"/>
        <v>26.15</v>
      </c>
      <c r="G42" s="45"/>
      <c r="I42" s="209"/>
      <c r="J42" s="199"/>
      <c r="K42" s="200"/>
      <c r="L42" s="160"/>
      <c r="M42" s="161"/>
      <c r="N42" s="200"/>
      <c r="O42" s="159"/>
      <c r="P42" s="175"/>
      <c r="Q42" s="161"/>
      <c r="R42" s="194"/>
      <c r="S42" s="194"/>
      <c r="T42" s="146"/>
    </row>
    <row r="43" spans="1:20" ht="14.25" customHeight="1" x14ac:dyDescent="0.2">
      <c r="A43" s="5" t="s">
        <v>461</v>
      </c>
      <c r="B43" s="136" t="s">
        <v>462</v>
      </c>
      <c r="C43" s="103" t="s">
        <v>26</v>
      </c>
      <c r="D43" s="105">
        <v>1</v>
      </c>
      <c r="E43" s="103">
        <f>ROUND(54.57*1.2619,2)</f>
        <v>68.86</v>
      </c>
      <c r="F43" s="103">
        <f t="shared" si="0"/>
        <v>68.86</v>
      </c>
      <c r="G43" s="45"/>
      <c r="I43" s="209"/>
      <c r="J43" s="199"/>
      <c r="K43" s="200"/>
      <c r="L43" s="160"/>
      <c r="M43" s="161"/>
      <c r="N43" s="200"/>
      <c r="O43" s="159"/>
      <c r="P43" s="175"/>
      <c r="Q43" s="161"/>
      <c r="R43" s="194"/>
      <c r="S43" s="194"/>
      <c r="T43" s="146"/>
    </row>
    <row r="44" spans="1:20" ht="30" x14ac:dyDescent="0.2">
      <c r="A44" s="5" t="s">
        <v>464</v>
      </c>
      <c r="B44" s="136" t="s">
        <v>469</v>
      </c>
      <c r="C44" s="103" t="s">
        <v>26</v>
      </c>
      <c r="D44" s="105">
        <v>2</v>
      </c>
      <c r="E44" s="103">
        <f>ROUND(37.51*1.2619,2)</f>
        <v>47.33</v>
      </c>
      <c r="F44" s="103">
        <f t="shared" si="0"/>
        <v>94.66</v>
      </c>
      <c r="G44" s="45"/>
      <c r="I44" s="209"/>
      <c r="J44" s="199"/>
      <c r="K44" s="200"/>
      <c r="L44" s="160"/>
      <c r="M44" s="161"/>
      <c r="N44" s="200"/>
      <c r="O44" s="159"/>
      <c r="P44" s="175"/>
      <c r="Q44" s="161"/>
      <c r="R44" s="194"/>
      <c r="S44" s="194"/>
      <c r="T44" s="146"/>
    </row>
    <row r="45" spans="1:20" ht="30" x14ac:dyDescent="0.2">
      <c r="A45" s="5" t="s">
        <v>465</v>
      </c>
      <c r="B45" s="136" t="s">
        <v>470</v>
      </c>
      <c r="C45" s="103" t="s">
        <v>26</v>
      </c>
      <c r="D45" s="105">
        <v>2</v>
      </c>
      <c r="E45" s="103">
        <f>ROUND(0.64*1.2619,2)</f>
        <v>0.81</v>
      </c>
      <c r="F45" s="103">
        <f t="shared" si="0"/>
        <v>1.62</v>
      </c>
      <c r="G45" s="45"/>
      <c r="I45" s="209"/>
      <c r="J45" s="199"/>
      <c r="K45" s="200"/>
      <c r="L45" s="160"/>
      <c r="M45" s="161"/>
      <c r="N45" s="200"/>
      <c r="O45" s="159"/>
      <c r="P45" s="175"/>
      <c r="Q45" s="161"/>
      <c r="R45" s="194"/>
      <c r="S45" s="194"/>
      <c r="T45" s="146"/>
    </row>
    <row r="46" spans="1:20" ht="30" x14ac:dyDescent="0.2">
      <c r="A46" s="5" t="s">
        <v>466</v>
      </c>
      <c r="B46" s="136" t="s">
        <v>471</v>
      </c>
      <c r="C46" s="103" t="s">
        <v>26</v>
      </c>
      <c r="D46" s="105">
        <v>1</v>
      </c>
      <c r="E46" s="103">
        <f>ROUND(105.62*1.2619,2)</f>
        <v>133.28</v>
      </c>
      <c r="F46" s="103">
        <f t="shared" si="0"/>
        <v>133.28</v>
      </c>
      <c r="G46" s="45"/>
      <c r="I46" s="209"/>
      <c r="J46" s="199"/>
      <c r="K46" s="200"/>
      <c r="L46" s="160"/>
      <c r="M46" s="161"/>
      <c r="N46" s="200"/>
      <c r="O46" s="159"/>
      <c r="P46" s="175"/>
      <c r="Q46" s="161"/>
      <c r="R46" s="194"/>
      <c r="S46" s="194"/>
      <c r="T46" s="146"/>
    </row>
    <row r="47" spans="1:20" ht="14.25" customHeight="1" x14ac:dyDescent="0.2">
      <c r="A47" s="5" t="s">
        <v>152</v>
      </c>
      <c r="B47" s="124" t="s">
        <v>440</v>
      </c>
      <c r="C47" s="103" t="s">
        <v>26</v>
      </c>
      <c r="D47" s="105">
        <v>4</v>
      </c>
      <c r="E47" s="103">
        <v>69.989999999999995</v>
      </c>
      <c r="F47" s="103">
        <f t="shared" si="0"/>
        <v>279.95999999999998</v>
      </c>
      <c r="I47" s="209"/>
      <c r="J47" s="199"/>
      <c r="K47" s="200"/>
      <c r="L47" s="160"/>
      <c r="M47" s="161"/>
      <c r="N47" s="200"/>
      <c r="O47" s="159"/>
      <c r="P47" s="175"/>
      <c r="Q47" s="161"/>
      <c r="R47" s="194"/>
      <c r="S47" s="194"/>
      <c r="T47" s="146"/>
    </row>
    <row r="48" spans="1:20" ht="14.25" customHeight="1" x14ac:dyDescent="0.2">
      <c r="A48" s="5" t="s">
        <v>467</v>
      </c>
      <c r="B48" s="136" t="s">
        <v>468</v>
      </c>
      <c r="C48" s="103" t="s">
        <v>21</v>
      </c>
      <c r="D48" s="105">
        <v>10</v>
      </c>
      <c r="E48" s="103">
        <f>ROUND(31.66*1.2619,2)</f>
        <v>39.950000000000003</v>
      </c>
      <c r="F48" s="103">
        <f t="shared" si="0"/>
        <v>399.5</v>
      </c>
      <c r="G48" s="45"/>
      <c r="I48" s="209"/>
      <c r="J48" s="199"/>
      <c r="K48" s="200"/>
      <c r="L48" s="160"/>
      <c r="M48" s="161"/>
      <c r="N48" s="200"/>
      <c r="O48" s="159"/>
      <c r="P48" s="175"/>
      <c r="Q48" s="161"/>
      <c r="R48" s="194"/>
      <c r="S48" s="194"/>
      <c r="T48" s="146"/>
    </row>
    <row r="49" spans="1:20" ht="32.25" customHeight="1" x14ac:dyDescent="0.2">
      <c r="A49" s="5" t="s">
        <v>425</v>
      </c>
      <c r="B49" s="124" t="s">
        <v>453</v>
      </c>
      <c r="C49" s="103" t="s">
        <v>26</v>
      </c>
      <c r="D49" s="105">
        <v>4</v>
      </c>
      <c r="E49" s="103">
        <f>ROUND(203.08*1.2619,2)</f>
        <v>256.27</v>
      </c>
      <c r="F49" s="103">
        <f t="shared" si="0"/>
        <v>1025.08</v>
      </c>
      <c r="I49" s="209"/>
      <c r="J49" s="199"/>
      <c r="K49" s="200"/>
      <c r="L49" s="160"/>
      <c r="M49" s="161"/>
      <c r="N49" s="200"/>
      <c r="O49" s="159"/>
      <c r="P49" s="175"/>
      <c r="Q49" s="161"/>
      <c r="R49" s="194"/>
      <c r="S49" s="194"/>
      <c r="T49" s="146"/>
    </row>
    <row r="50" spans="1:20" ht="14.25" customHeight="1" x14ac:dyDescent="0.2">
      <c r="A50" s="5" t="s">
        <v>448</v>
      </c>
      <c r="B50" s="136" t="s">
        <v>449</v>
      </c>
      <c r="C50" s="103" t="s">
        <v>26</v>
      </c>
      <c r="D50" s="105">
        <v>4</v>
      </c>
      <c r="E50" s="103">
        <f>ROUND(51.6*1.2619,2)</f>
        <v>65.11</v>
      </c>
      <c r="F50" s="103">
        <f t="shared" si="0"/>
        <v>260.44</v>
      </c>
      <c r="I50" s="209"/>
      <c r="J50" s="199"/>
      <c r="K50" s="200"/>
      <c r="L50" s="160"/>
      <c r="M50" s="161"/>
      <c r="N50" s="200"/>
      <c r="O50" s="159"/>
      <c r="P50" s="175"/>
      <c r="Q50" s="161"/>
      <c r="R50" s="194"/>
      <c r="S50" s="194"/>
      <c r="T50" s="146"/>
    </row>
    <row r="51" spans="1:20" ht="15" customHeight="1" x14ac:dyDescent="0.2">
      <c r="A51" s="5" t="s">
        <v>447</v>
      </c>
      <c r="B51" s="136" t="s">
        <v>450</v>
      </c>
      <c r="C51" s="103" t="s">
        <v>26</v>
      </c>
      <c r="D51" s="105">
        <v>2</v>
      </c>
      <c r="E51" s="103">
        <f>ROUND(142.12*1.2619,2)</f>
        <v>179.34</v>
      </c>
      <c r="F51" s="103">
        <f t="shared" si="0"/>
        <v>358.68</v>
      </c>
      <c r="I51" s="209"/>
      <c r="J51" s="199"/>
      <c r="K51" s="200"/>
      <c r="L51" s="160"/>
      <c r="M51" s="161"/>
      <c r="N51" s="200"/>
      <c r="O51" s="159"/>
      <c r="P51" s="175"/>
      <c r="Q51" s="161"/>
      <c r="R51" s="194"/>
      <c r="S51" s="194"/>
      <c r="T51" s="146"/>
    </row>
    <row r="52" spans="1:20" ht="33.75" customHeight="1" x14ac:dyDescent="0.2">
      <c r="A52" s="5" t="s">
        <v>427</v>
      </c>
      <c r="B52" s="136" t="s">
        <v>429</v>
      </c>
      <c r="C52" s="103" t="s">
        <v>26</v>
      </c>
      <c r="D52" s="105">
        <v>6</v>
      </c>
      <c r="E52" s="103">
        <f>ROUND(20.86*1.2619,2)</f>
        <v>26.32</v>
      </c>
      <c r="F52" s="103">
        <f t="shared" si="0"/>
        <v>157.91999999999999</v>
      </c>
      <c r="I52" s="209"/>
      <c r="J52" s="199"/>
      <c r="K52" s="200"/>
      <c r="L52" s="160"/>
      <c r="M52" s="161"/>
      <c r="N52" s="200"/>
      <c r="O52" s="159"/>
      <c r="P52" s="175"/>
      <c r="Q52" s="161"/>
      <c r="R52" s="194"/>
      <c r="S52" s="194"/>
      <c r="T52" s="146"/>
    </row>
    <row r="53" spans="1:20" ht="22.5" customHeight="1" x14ac:dyDescent="0.2">
      <c r="A53" s="5" t="s">
        <v>314</v>
      </c>
      <c r="B53" s="136" t="s">
        <v>291</v>
      </c>
      <c r="C53" s="103" t="s">
        <v>20</v>
      </c>
      <c r="D53" s="135">
        <v>2</v>
      </c>
      <c r="E53" s="103">
        <f>ROUND(8.81*1.2619,2)</f>
        <v>11.12</v>
      </c>
      <c r="F53" s="103">
        <f t="shared" si="0"/>
        <v>22.24</v>
      </c>
      <c r="I53" s="146"/>
      <c r="J53" s="199"/>
      <c r="K53" s="200"/>
      <c r="L53" s="160"/>
      <c r="M53" s="174"/>
      <c r="N53" s="200"/>
      <c r="O53" s="159"/>
      <c r="P53" s="175"/>
      <c r="Q53" s="161"/>
      <c r="R53" s="194"/>
      <c r="S53" s="194"/>
      <c r="T53" s="146"/>
    </row>
    <row r="54" spans="1:20" ht="27.75" customHeight="1" x14ac:dyDescent="0.2">
      <c r="A54" s="5" t="s">
        <v>145</v>
      </c>
      <c r="B54" s="136" t="s">
        <v>148</v>
      </c>
      <c r="C54" s="103" t="s">
        <v>20</v>
      </c>
      <c r="D54" s="135">
        <v>3</v>
      </c>
      <c r="E54" s="103">
        <f>ROUND(10.23*1.2619,2)</f>
        <v>12.91</v>
      </c>
      <c r="F54" s="103">
        <f>ROUND(D54*E54,2)</f>
        <v>38.729999999999997</v>
      </c>
      <c r="I54" s="146"/>
      <c r="J54" s="199"/>
      <c r="K54" s="208"/>
      <c r="L54" s="160"/>
      <c r="M54" s="175"/>
      <c r="N54" s="200"/>
      <c r="O54" s="159"/>
      <c r="P54" s="175"/>
      <c r="Q54" s="161"/>
      <c r="R54" s="194"/>
      <c r="S54" s="194"/>
      <c r="T54" s="146"/>
    </row>
    <row r="55" spans="1:20" ht="15" x14ac:dyDescent="0.25">
      <c r="A55" s="2"/>
      <c r="B55" s="2"/>
      <c r="C55" s="2"/>
      <c r="D55" s="99"/>
      <c r="E55" s="2"/>
      <c r="F55" s="2"/>
      <c r="I55" s="146"/>
      <c r="J55" s="199"/>
      <c r="K55" s="208"/>
      <c r="L55" s="160"/>
      <c r="M55" s="175"/>
      <c r="N55" s="191"/>
      <c r="O55" s="160"/>
      <c r="P55" s="193"/>
      <c r="Q55" s="201"/>
      <c r="R55" s="194"/>
      <c r="S55" s="195"/>
      <c r="T55" s="146"/>
    </row>
    <row r="56" spans="1:20" ht="14.25" x14ac:dyDescent="0.2">
      <c r="E56" s="57" t="s">
        <v>83</v>
      </c>
      <c r="F56" s="138">
        <f>SUM(F6:F54)</f>
        <v>16364.18</v>
      </c>
    </row>
  </sheetData>
  <mergeCells count="3">
    <mergeCell ref="A1:F1"/>
    <mergeCell ref="L1:Q1"/>
    <mergeCell ref="B3:F3"/>
  </mergeCells>
  <pageMargins left="0.51181102362204722" right="0.51181102362204722" top="0.78740157480314965" bottom="0.78740157480314965" header="0.31496062992125984" footer="0.31496062992125984"/>
  <pageSetup paperSize="9" scale="8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87" zoomScaleNormal="87" workbookViewId="0">
      <selection activeCell="O7" sqref="O7"/>
    </sheetView>
  </sheetViews>
  <sheetFormatPr defaultRowHeight="12.75" x14ac:dyDescent="0.2"/>
  <cols>
    <col min="1" max="1" width="12.5703125" customWidth="1"/>
    <col min="2" max="2" width="47.140625" customWidth="1"/>
    <col min="3" max="3" width="7.28515625" customWidth="1"/>
  </cols>
  <sheetData>
    <row r="1" spans="1:8" ht="18.75" x14ac:dyDescent="0.2">
      <c r="A1" s="214" t="s">
        <v>317</v>
      </c>
      <c r="B1" s="214"/>
      <c r="C1" s="214"/>
      <c r="D1" s="214"/>
      <c r="E1" s="214"/>
      <c r="F1" s="214"/>
    </row>
    <row r="2" spans="1:8" ht="15" x14ac:dyDescent="0.25">
      <c r="A2" s="133"/>
      <c r="B2" s="88"/>
      <c r="C2" s="2"/>
      <c r="D2" s="2"/>
      <c r="E2" s="2"/>
      <c r="F2" s="2"/>
    </row>
    <row r="3" spans="1:8" ht="15" x14ac:dyDescent="0.2">
      <c r="A3" s="119" t="s">
        <v>497</v>
      </c>
      <c r="B3" s="213" t="s">
        <v>317</v>
      </c>
      <c r="C3" s="213"/>
      <c r="D3" s="213"/>
      <c r="E3" s="213"/>
      <c r="F3" s="213"/>
    </row>
    <row r="4" spans="1:8" ht="15" x14ac:dyDescent="0.25">
      <c r="A4" s="2"/>
      <c r="B4" s="88"/>
      <c r="C4" s="2"/>
      <c r="D4" s="2"/>
      <c r="E4" s="2"/>
      <c r="F4" s="2"/>
    </row>
    <row r="5" spans="1:8" ht="14.25" x14ac:dyDescent="0.2">
      <c r="A5" s="52" t="s">
        <v>27</v>
      </c>
      <c r="B5" s="53" t="s">
        <v>28</v>
      </c>
      <c r="C5" s="53" t="s">
        <v>29</v>
      </c>
      <c r="D5" s="53" t="s">
        <v>30</v>
      </c>
      <c r="E5" s="53" t="s">
        <v>82</v>
      </c>
      <c r="F5" s="53" t="s">
        <v>83</v>
      </c>
    </row>
    <row r="6" spans="1:8" ht="15" x14ac:dyDescent="0.25">
      <c r="A6" s="91" t="s">
        <v>152</v>
      </c>
      <c r="B6" s="147" t="s">
        <v>318</v>
      </c>
      <c r="C6" s="162" t="s">
        <v>21</v>
      </c>
      <c r="D6" s="163">
        <v>1</v>
      </c>
      <c r="E6" s="103">
        <v>5.86</v>
      </c>
      <c r="F6" s="105">
        <f>ROUND(D6*E6,2)</f>
        <v>5.86</v>
      </c>
    </row>
    <row r="7" spans="1:8" ht="30" x14ac:dyDescent="0.2">
      <c r="A7" s="134" t="s">
        <v>374</v>
      </c>
      <c r="B7" s="136" t="s">
        <v>377</v>
      </c>
      <c r="C7" s="165" t="s">
        <v>21</v>
      </c>
      <c r="D7" s="164">
        <v>15</v>
      </c>
      <c r="E7" s="103">
        <f>ROUND(2.55*1.2619,2)</f>
        <v>3.22</v>
      </c>
      <c r="F7" s="105">
        <f t="shared" ref="F7:F23" si="0">ROUND(D7*E7,2)</f>
        <v>48.3</v>
      </c>
      <c r="H7" s="45"/>
    </row>
    <row r="8" spans="1:8" ht="30" x14ac:dyDescent="0.2">
      <c r="A8" s="134" t="s">
        <v>375</v>
      </c>
      <c r="B8" s="136" t="s">
        <v>378</v>
      </c>
      <c r="C8" s="165" t="s">
        <v>21</v>
      </c>
      <c r="D8" s="164">
        <v>4</v>
      </c>
      <c r="E8" s="103">
        <f>ROUND(7.52*1.2619,2)</f>
        <v>9.49</v>
      </c>
      <c r="F8" s="105">
        <f t="shared" si="0"/>
        <v>37.96</v>
      </c>
      <c r="H8" s="45"/>
    </row>
    <row r="9" spans="1:8" ht="30" x14ac:dyDescent="0.2">
      <c r="A9" s="134" t="s">
        <v>376</v>
      </c>
      <c r="B9" s="136" t="s">
        <v>379</v>
      </c>
      <c r="C9" s="165" t="s">
        <v>26</v>
      </c>
      <c r="D9" s="164">
        <v>1</v>
      </c>
      <c r="E9" s="103">
        <f>ROUND(2.11*1.2619,2)</f>
        <v>2.66</v>
      </c>
      <c r="F9" s="105">
        <f t="shared" si="0"/>
        <v>2.66</v>
      </c>
      <c r="H9" s="45"/>
    </row>
    <row r="10" spans="1:8" ht="15" x14ac:dyDescent="0.2">
      <c r="A10" s="91" t="s">
        <v>152</v>
      </c>
      <c r="B10" s="136" t="s">
        <v>319</v>
      </c>
      <c r="C10" s="165" t="s">
        <v>26</v>
      </c>
      <c r="D10" s="164">
        <v>5</v>
      </c>
      <c r="E10" s="103">
        <v>2.37</v>
      </c>
      <c r="F10" s="105">
        <f t="shared" si="0"/>
        <v>11.85</v>
      </c>
    </row>
    <row r="11" spans="1:8" ht="15.75" customHeight="1" x14ac:dyDescent="0.2">
      <c r="A11" s="134" t="s">
        <v>382</v>
      </c>
      <c r="B11" s="90" t="s">
        <v>320</v>
      </c>
      <c r="C11" s="164" t="s">
        <v>26</v>
      </c>
      <c r="D11" s="164">
        <v>1</v>
      </c>
      <c r="E11" s="103">
        <f>ROUND(5.61*1.2619,2)</f>
        <v>7.08</v>
      </c>
      <c r="F11" s="105">
        <f t="shared" si="0"/>
        <v>7.08</v>
      </c>
      <c r="H11" s="45"/>
    </row>
    <row r="12" spans="1:8" ht="15" x14ac:dyDescent="0.2">
      <c r="A12" s="134" t="s">
        <v>376</v>
      </c>
      <c r="B12" s="90" t="s">
        <v>383</v>
      </c>
      <c r="C12" s="164" t="s">
        <v>26</v>
      </c>
      <c r="D12" s="164">
        <v>1</v>
      </c>
      <c r="E12" s="103">
        <f>ROUND(2.11*1.2619,2)</f>
        <v>2.66</v>
      </c>
      <c r="F12" s="105">
        <f t="shared" si="0"/>
        <v>2.66</v>
      </c>
      <c r="H12" s="45"/>
    </row>
    <row r="13" spans="1:8" ht="15" x14ac:dyDescent="0.2">
      <c r="A13" s="91" t="s">
        <v>152</v>
      </c>
      <c r="B13" s="124" t="s">
        <v>321</v>
      </c>
      <c r="C13" s="162" t="s">
        <v>26</v>
      </c>
      <c r="D13" s="164">
        <v>2</v>
      </c>
      <c r="E13" s="105">
        <v>8</v>
      </c>
      <c r="F13" s="105">
        <f t="shared" si="0"/>
        <v>16</v>
      </c>
      <c r="H13" s="167"/>
    </row>
    <row r="14" spans="1:8" ht="15" x14ac:dyDescent="0.2">
      <c r="A14" s="91" t="s">
        <v>152</v>
      </c>
      <c r="B14" s="136" t="s">
        <v>322</v>
      </c>
      <c r="C14" s="165" t="s">
        <v>26</v>
      </c>
      <c r="D14" s="164">
        <v>1</v>
      </c>
      <c r="E14" s="103">
        <v>17.62</v>
      </c>
      <c r="F14" s="105">
        <f>ROUND(D14*E14,2)</f>
        <v>17.62</v>
      </c>
    </row>
    <row r="15" spans="1:8" ht="15" x14ac:dyDescent="0.2">
      <c r="A15" s="91" t="s">
        <v>152</v>
      </c>
      <c r="B15" s="136" t="s">
        <v>323</v>
      </c>
      <c r="C15" s="165" t="s">
        <v>26</v>
      </c>
      <c r="D15" s="164">
        <v>8</v>
      </c>
      <c r="E15" s="103">
        <v>1.1499999999999999</v>
      </c>
      <c r="F15" s="105">
        <f t="shared" si="0"/>
        <v>9.1999999999999993</v>
      </c>
    </row>
    <row r="16" spans="1:8" ht="15" x14ac:dyDescent="0.2">
      <c r="A16" s="134" t="s">
        <v>380</v>
      </c>
      <c r="B16" s="136" t="s">
        <v>384</v>
      </c>
      <c r="C16" s="165" t="s">
        <v>26</v>
      </c>
      <c r="D16" s="164">
        <v>15</v>
      </c>
      <c r="E16" s="103">
        <f>ROUND(0.07*1.2619,2)</f>
        <v>0.09</v>
      </c>
      <c r="F16" s="105">
        <f t="shared" si="0"/>
        <v>1.35</v>
      </c>
      <c r="H16" s="45"/>
    </row>
    <row r="17" spans="1:13" ht="44.25" customHeight="1" x14ac:dyDescent="0.2">
      <c r="A17" s="134" t="s">
        <v>381</v>
      </c>
      <c r="B17" s="136" t="s">
        <v>385</v>
      </c>
      <c r="C17" s="164" t="s">
        <v>26</v>
      </c>
      <c r="D17" s="164">
        <v>16</v>
      </c>
      <c r="E17" s="103">
        <f>ROUND(0.61*1.2619,2)</f>
        <v>0.77</v>
      </c>
      <c r="F17" s="105">
        <f t="shared" si="0"/>
        <v>12.32</v>
      </c>
      <c r="H17" s="45"/>
    </row>
    <row r="18" spans="1:13" ht="15" x14ac:dyDescent="0.2">
      <c r="A18" s="91" t="s">
        <v>152</v>
      </c>
      <c r="B18" s="136" t="s">
        <v>324</v>
      </c>
      <c r="C18" s="162" t="s">
        <v>26</v>
      </c>
      <c r="D18" s="164">
        <v>5</v>
      </c>
      <c r="E18" s="103">
        <v>0.87</v>
      </c>
      <c r="F18" s="105">
        <f t="shared" si="0"/>
        <v>4.3499999999999996</v>
      </c>
    </row>
    <row r="19" spans="1:13" ht="15" x14ac:dyDescent="0.2">
      <c r="A19" s="91" t="s">
        <v>152</v>
      </c>
      <c r="B19" s="136" t="s">
        <v>325</v>
      </c>
      <c r="C19" s="165" t="s">
        <v>26</v>
      </c>
      <c r="D19" s="164">
        <v>3</v>
      </c>
      <c r="E19" s="103">
        <v>6.49</v>
      </c>
      <c r="F19" s="105">
        <f t="shared" si="0"/>
        <v>19.47</v>
      </c>
    </row>
    <row r="20" spans="1:13" ht="30" x14ac:dyDescent="0.2">
      <c r="A20" s="91" t="s">
        <v>152</v>
      </c>
      <c r="B20" s="136" t="s">
        <v>326</v>
      </c>
      <c r="C20" s="164" t="s">
        <v>26</v>
      </c>
      <c r="D20" s="164">
        <v>2</v>
      </c>
      <c r="E20" s="103">
        <v>6.9</v>
      </c>
      <c r="F20" s="105">
        <f t="shared" si="0"/>
        <v>13.8</v>
      </c>
    </row>
    <row r="21" spans="1:13" ht="20.25" customHeight="1" x14ac:dyDescent="0.2">
      <c r="A21" s="91" t="s">
        <v>152</v>
      </c>
      <c r="B21" s="136" t="s">
        <v>327</v>
      </c>
      <c r="C21" s="162" t="s">
        <v>26</v>
      </c>
      <c r="D21" s="164">
        <v>1</v>
      </c>
      <c r="E21" s="105">
        <v>26</v>
      </c>
      <c r="F21" s="105">
        <f t="shared" si="0"/>
        <v>26</v>
      </c>
      <c r="I21" s="5"/>
      <c r="J21" s="124"/>
      <c r="K21" s="103"/>
      <c r="L21" s="105"/>
      <c r="M21" s="85"/>
    </row>
    <row r="22" spans="1:13" ht="15" x14ac:dyDescent="0.2">
      <c r="A22" s="91">
        <v>10101</v>
      </c>
      <c r="B22" s="136" t="s">
        <v>149</v>
      </c>
      <c r="C22" s="164" t="s">
        <v>20</v>
      </c>
      <c r="D22" s="163">
        <v>8</v>
      </c>
      <c r="E22" s="85">
        <f>ROUND((5.34/1.309)*1.2619,2)</f>
        <v>5.15</v>
      </c>
      <c r="F22" s="105">
        <f t="shared" si="0"/>
        <v>41.2</v>
      </c>
    </row>
    <row r="23" spans="1:13" ht="15" x14ac:dyDescent="0.2">
      <c r="A23" s="5" t="s">
        <v>287</v>
      </c>
      <c r="B23" s="136" t="s">
        <v>388</v>
      </c>
      <c r="C23" s="162" t="s">
        <v>20</v>
      </c>
      <c r="D23" s="135">
        <v>12</v>
      </c>
      <c r="E23" s="85">
        <f>ROUND((6.33/1.309)*1.2619,2)</f>
        <v>6.1</v>
      </c>
      <c r="F23" s="105">
        <f t="shared" si="0"/>
        <v>73.2</v>
      </c>
    </row>
    <row r="24" spans="1:13" ht="15" x14ac:dyDescent="0.25">
      <c r="A24" s="98"/>
      <c r="B24" s="88"/>
      <c r="C24" s="2"/>
      <c r="D24" s="98"/>
      <c r="E24" s="137"/>
      <c r="F24" s="2"/>
    </row>
    <row r="25" spans="1:13" ht="15" x14ac:dyDescent="0.25">
      <c r="A25" s="98"/>
      <c r="B25" s="88"/>
      <c r="C25" s="2"/>
      <c r="D25" s="98"/>
      <c r="E25" s="57" t="s">
        <v>83</v>
      </c>
      <c r="F25" s="100">
        <f>SUM(F6:F23)</f>
        <v>350.88</v>
      </c>
    </row>
  </sheetData>
  <mergeCells count="2">
    <mergeCell ref="A1:F1"/>
    <mergeCell ref="B3:F3"/>
  </mergeCells>
  <pageMargins left="0.51181102362204722" right="0.51181102362204722" top="0.78740157480314965" bottom="0.78740157480314965" header="0.31496062992125984" footer="0.31496062992125984"/>
  <pageSetup paperSize="9" scale="95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91" zoomScaleNormal="91" workbookViewId="0">
      <selection activeCell="A4" sqref="A4"/>
    </sheetView>
  </sheetViews>
  <sheetFormatPr defaultRowHeight="12.75" x14ac:dyDescent="0.2"/>
  <cols>
    <col min="1" max="1" width="11.140625" customWidth="1"/>
    <col min="2" max="2" width="42" customWidth="1"/>
    <col min="8" max="8" width="16.28515625" customWidth="1"/>
    <col min="9" max="9" width="26.140625" customWidth="1"/>
  </cols>
  <sheetData>
    <row r="1" spans="1:15" ht="15" x14ac:dyDescent="0.2">
      <c r="A1" s="219" t="s">
        <v>390</v>
      </c>
      <c r="B1" s="219"/>
      <c r="C1" s="219"/>
      <c r="D1" s="219"/>
      <c r="E1" s="219"/>
      <c r="F1" s="219"/>
    </row>
    <row r="2" spans="1:15" ht="15" x14ac:dyDescent="0.2">
      <c r="A2" s="49"/>
      <c r="B2" s="5"/>
      <c r="C2" s="50"/>
      <c r="D2" s="50"/>
      <c r="E2" s="50"/>
      <c r="F2" s="50"/>
      <c r="H2" s="146"/>
      <c r="I2" s="146"/>
      <c r="J2" s="146"/>
      <c r="K2" s="146"/>
      <c r="L2" s="146"/>
      <c r="M2" s="146"/>
      <c r="N2" s="146"/>
      <c r="O2" s="176"/>
    </row>
    <row r="3" spans="1:15" ht="15" customHeight="1" x14ac:dyDescent="0.2">
      <c r="A3" s="119" t="s">
        <v>498</v>
      </c>
      <c r="B3" s="213" t="s">
        <v>390</v>
      </c>
      <c r="C3" s="213"/>
      <c r="D3" s="213"/>
      <c r="E3" s="213"/>
      <c r="F3" s="213"/>
      <c r="H3" s="146"/>
      <c r="I3" s="220"/>
      <c r="J3" s="220"/>
      <c r="K3" s="220"/>
      <c r="L3" s="220"/>
      <c r="M3" s="220"/>
      <c r="N3" s="220"/>
      <c r="O3" s="176"/>
    </row>
    <row r="4" spans="1:15" ht="15" x14ac:dyDescent="0.2">
      <c r="A4" s="50"/>
      <c r="B4" s="5"/>
      <c r="C4" s="50"/>
      <c r="D4" s="50"/>
      <c r="E4" s="50"/>
      <c r="F4" s="50"/>
      <c r="H4" s="176"/>
      <c r="I4" s="176"/>
      <c r="J4" s="176"/>
      <c r="K4" s="176"/>
      <c r="L4" s="176"/>
      <c r="M4" s="176"/>
      <c r="N4" s="176"/>
      <c r="O4" s="176"/>
    </row>
    <row r="5" spans="1:15" ht="14.25" x14ac:dyDescent="0.2">
      <c r="A5" s="52" t="s">
        <v>27</v>
      </c>
      <c r="B5" s="53" t="s">
        <v>28</v>
      </c>
      <c r="C5" s="53" t="s">
        <v>29</v>
      </c>
      <c r="D5" s="53" t="s">
        <v>30</v>
      </c>
      <c r="E5" s="53" t="s">
        <v>82</v>
      </c>
      <c r="F5" s="53" t="s">
        <v>83</v>
      </c>
    </row>
    <row r="6" spans="1:15" ht="30" x14ac:dyDescent="0.2">
      <c r="A6" s="134" t="s">
        <v>350</v>
      </c>
      <c r="B6" s="169" t="s">
        <v>392</v>
      </c>
      <c r="C6" s="170" t="s">
        <v>21</v>
      </c>
      <c r="D6" s="171">
        <v>3</v>
      </c>
      <c r="E6" s="103">
        <f>ROUND(5.41*1.2619,2)</f>
        <v>6.83</v>
      </c>
      <c r="F6" s="103">
        <f>ROUND(D6*E6,2)</f>
        <v>20.49</v>
      </c>
      <c r="I6" s="45"/>
    </row>
    <row r="7" spans="1:15" ht="15" x14ac:dyDescent="0.2">
      <c r="A7" s="91">
        <v>62702</v>
      </c>
      <c r="B7" s="136" t="s">
        <v>393</v>
      </c>
      <c r="C7" s="177" t="s">
        <v>21</v>
      </c>
      <c r="D7" s="178">
        <v>15</v>
      </c>
      <c r="E7" s="105">
        <f>ROUND((5.69/1.309)*1.2619,2)</f>
        <v>5.49</v>
      </c>
      <c r="F7" s="103">
        <f t="shared" ref="F7:F23" si="0">ROUND(D7*E7,2)</f>
        <v>82.35</v>
      </c>
      <c r="I7" s="45"/>
    </row>
    <row r="8" spans="1:15" ht="30" x14ac:dyDescent="0.2">
      <c r="A8" s="91">
        <v>9835</v>
      </c>
      <c r="B8" s="124" t="s">
        <v>387</v>
      </c>
      <c r="C8" s="172" t="s">
        <v>21</v>
      </c>
      <c r="D8" s="171">
        <v>8</v>
      </c>
      <c r="E8" s="103">
        <f>ROUND(3.89*1.2619,2)</f>
        <v>4.91</v>
      </c>
      <c r="F8" s="103">
        <f t="shared" si="0"/>
        <v>39.28</v>
      </c>
    </row>
    <row r="9" spans="1:15" ht="15.75" customHeight="1" x14ac:dyDescent="0.2">
      <c r="A9" s="91" t="s">
        <v>152</v>
      </c>
      <c r="B9" s="136" t="s">
        <v>329</v>
      </c>
      <c r="C9" s="172" t="s">
        <v>26</v>
      </c>
      <c r="D9" s="171">
        <v>1</v>
      </c>
      <c r="E9" s="103">
        <v>10.14</v>
      </c>
      <c r="F9" s="103">
        <f t="shared" si="0"/>
        <v>10.14</v>
      </c>
    </row>
    <row r="10" spans="1:15" ht="43.5" customHeight="1" x14ac:dyDescent="0.2">
      <c r="A10" s="134" t="s">
        <v>396</v>
      </c>
      <c r="B10" s="90" t="s">
        <v>397</v>
      </c>
      <c r="C10" s="177" t="s">
        <v>26</v>
      </c>
      <c r="D10" s="179">
        <v>1</v>
      </c>
      <c r="E10" s="103">
        <f>ROUND(19.82*1.2619,2)</f>
        <v>25.01</v>
      </c>
      <c r="F10" s="103">
        <f t="shared" si="0"/>
        <v>25.01</v>
      </c>
      <c r="H10" s="45"/>
    </row>
    <row r="11" spans="1:15" ht="28.5" customHeight="1" x14ac:dyDescent="0.2">
      <c r="A11" s="134" t="s">
        <v>394</v>
      </c>
      <c r="B11" s="136" t="s">
        <v>395</v>
      </c>
      <c r="C11" s="177" t="s">
        <v>26</v>
      </c>
      <c r="D11" s="180">
        <v>6</v>
      </c>
      <c r="E11" s="103">
        <f>ROUND(1.92*1.2619,2)</f>
        <v>2.42</v>
      </c>
      <c r="F11" s="103">
        <f t="shared" si="0"/>
        <v>14.52</v>
      </c>
      <c r="H11" s="45"/>
    </row>
    <row r="12" spans="1:15" ht="30.75" customHeight="1" x14ac:dyDescent="0.2">
      <c r="A12" s="134" t="s">
        <v>398</v>
      </c>
      <c r="B12" s="136" t="s">
        <v>399</v>
      </c>
      <c r="C12" s="177" t="s">
        <v>26</v>
      </c>
      <c r="D12" s="178">
        <v>3</v>
      </c>
      <c r="E12" s="103">
        <f>ROUND(0.84*1.2619,2)</f>
        <v>1.06</v>
      </c>
      <c r="F12" s="103">
        <f>ROUND(D12*E12,2)</f>
        <v>3.18</v>
      </c>
      <c r="G12" s="45"/>
    </row>
    <row r="13" spans="1:15" ht="30" customHeight="1" x14ac:dyDescent="0.2">
      <c r="A13" s="134" t="s">
        <v>401</v>
      </c>
      <c r="B13" s="136" t="s">
        <v>400</v>
      </c>
      <c r="C13" s="177" t="s">
        <v>26</v>
      </c>
      <c r="D13" s="179">
        <v>1</v>
      </c>
      <c r="E13" s="103">
        <f>ROUND(6.86*1.2619,2)</f>
        <v>8.66</v>
      </c>
      <c r="F13" s="103">
        <f t="shared" si="0"/>
        <v>8.66</v>
      </c>
      <c r="H13" s="45"/>
    </row>
    <row r="14" spans="1:15" ht="30" customHeight="1" x14ac:dyDescent="0.2">
      <c r="A14" s="134" t="s">
        <v>360</v>
      </c>
      <c r="B14" s="136" t="s">
        <v>370</v>
      </c>
      <c r="C14" s="177" t="s">
        <v>26</v>
      </c>
      <c r="D14" s="179">
        <v>4</v>
      </c>
      <c r="E14" s="103">
        <f>ROUND(3.71*1.2619,2)</f>
        <v>4.68</v>
      </c>
      <c r="F14" s="103">
        <f t="shared" si="0"/>
        <v>18.72</v>
      </c>
      <c r="H14" s="134"/>
      <c r="I14" s="136"/>
      <c r="J14" s="172"/>
      <c r="K14" s="171"/>
      <c r="L14" s="103"/>
    </row>
    <row r="15" spans="1:15" ht="15.75" customHeight="1" x14ac:dyDescent="0.2">
      <c r="A15" s="134" t="s">
        <v>152</v>
      </c>
      <c r="B15" s="136" t="s">
        <v>330</v>
      </c>
      <c r="C15" s="177" t="s">
        <v>26</v>
      </c>
      <c r="D15" s="179">
        <v>4</v>
      </c>
      <c r="E15" s="183">
        <v>14.38</v>
      </c>
      <c r="F15" s="103">
        <f t="shared" si="0"/>
        <v>57.52</v>
      </c>
      <c r="H15" s="182"/>
      <c r="I15" s="136"/>
      <c r="J15" s="172"/>
      <c r="K15" s="171"/>
      <c r="L15" s="105"/>
    </row>
    <row r="16" spans="1:15" ht="60" x14ac:dyDescent="0.2">
      <c r="A16" s="134" t="s">
        <v>402</v>
      </c>
      <c r="B16" s="136" t="s">
        <v>403</v>
      </c>
      <c r="C16" s="177" t="s">
        <v>26</v>
      </c>
      <c r="D16" s="180">
        <v>1</v>
      </c>
      <c r="E16" s="103">
        <f>ROUND(18.34*1.2619,2)</f>
        <v>23.14</v>
      </c>
      <c r="F16" s="103">
        <f t="shared" si="0"/>
        <v>23.14</v>
      </c>
    </row>
    <row r="17" spans="1:9" ht="30" customHeight="1" x14ac:dyDescent="0.2">
      <c r="A17" s="134" t="s">
        <v>406</v>
      </c>
      <c r="B17" s="136" t="s">
        <v>407</v>
      </c>
      <c r="C17" s="177" t="s">
        <v>26</v>
      </c>
      <c r="D17" s="178">
        <v>1</v>
      </c>
      <c r="E17" s="103">
        <f>ROUND(21.384*1.2619,2)</f>
        <v>26.98</v>
      </c>
      <c r="F17" s="103">
        <f t="shared" si="0"/>
        <v>26.98</v>
      </c>
    </row>
    <row r="18" spans="1:9" ht="15" x14ac:dyDescent="0.2">
      <c r="A18" s="91" t="s">
        <v>152</v>
      </c>
      <c r="B18" s="136" t="s">
        <v>331</v>
      </c>
      <c r="C18" s="177" t="s">
        <v>26</v>
      </c>
      <c r="D18" s="179">
        <v>5</v>
      </c>
      <c r="E18" s="103">
        <v>5.94</v>
      </c>
      <c r="F18" s="103">
        <f t="shared" si="0"/>
        <v>29.7</v>
      </c>
    </row>
    <row r="19" spans="1:9" ht="30" x14ac:dyDescent="0.2">
      <c r="A19" s="134" t="s">
        <v>404</v>
      </c>
      <c r="B19" s="136" t="s">
        <v>405</v>
      </c>
      <c r="C19" s="177" t="s">
        <v>26</v>
      </c>
      <c r="D19" s="179">
        <v>1</v>
      </c>
      <c r="E19" s="103">
        <f>ROUND(123.65*1.2619,2)</f>
        <v>156.03</v>
      </c>
      <c r="F19" s="103">
        <f t="shared" si="0"/>
        <v>156.03</v>
      </c>
      <c r="H19" s="45"/>
    </row>
    <row r="20" spans="1:9" ht="15" x14ac:dyDescent="0.2">
      <c r="A20" s="91" t="s">
        <v>152</v>
      </c>
      <c r="B20" s="136" t="s">
        <v>332</v>
      </c>
      <c r="C20" s="177" t="s">
        <v>26</v>
      </c>
      <c r="D20" s="179">
        <v>1</v>
      </c>
      <c r="E20" s="103">
        <v>16.12</v>
      </c>
      <c r="F20" s="103">
        <f t="shared" si="0"/>
        <v>16.12</v>
      </c>
    </row>
    <row r="21" spans="1:9" ht="27" customHeight="1" x14ac:dyDescent="0.2">
      <c r="A21" s="134" t="s">
        <v>359</v>
      </c>
      <c r="B21" s="136" t="s">
        <v>369</v>
      </c>
      <c r="C21" s="170" t="s">
        <v>26</v>
      </c>
      <c r="D21" s="171">
        <v>4</v>
      </c>
      <c r="E21" s="103">
        <f>ROUND(3.19*1.2619,2)</f>
        <v>4.03</v>
      </c>
      <c r="F21" s="103">
        <f t="shared" si="0"/>
        <v>16.12</v>
      </c>
    </row>
    <row r="22" spans="1:9" ht="15" x14ac:dyDescent="0.2">
      <c r="A22" s="91">
        <v>10139</v>
      </c>
      <c r="B22" s="136" t="s">
        <v>349</v>
      </c>
      <c r="C22" s="181" t="s">
        <v>20</v>
      </c>
      <c r="D22" s="180">
        <v>3</v>
      </c>
      <c r="E22" s="105">
        <f>ROUND((6.33/1.309)*1.2619,2)</f>
        <v>6.1</v>
      </c>
      <c r="F22" s="103">
        <f t="shared" si="0"/>
        <v>18.3</v>
      </c>
      <c r="I22" s="45"/>
    </row>
    <row r="23" spans="1:9" ht="15" x14ac:dyDescent="0.2">
      <c r="A23" s="5" t="s">
        <v>314</v>
      </c>
      <c r="B23" s="136" t="s">
        <v>291</v>
      </c>
      <c r="C23" s="103" t="s">
        <v>20</v>
      </c>
      <c r="D23" s="135">
        <v>2</v>
      </c>
      <c r="E23" s="103">
        <f>ROUND(8.81*1.2619,2)</f>
        <v>11.12</v>
      </c>
      <c r="F23" s="103">
        <f t="shared" si="0"/>
        <v>22.24</v>
      </c>
    </row>
    <row r="24" spans="1:9" ht="30" x14ac:dyDescent="0.2">
      <c r="A24" s="5" t="s">
        <v>145</v>
      </c>
      <c r="B24" s="136" t="s">
        <v>148</v>
      </c>
      <c r="C24" s="103" t="s">
        <v>20</v>
      </c>
      <c r="D24" s="135">
        <v>3</v>
      </c>
      <c r="E24" s="103">
        <f>ROUND(10.23*1.2619,2)</f>
        <v>12.91</v>
      </c>
      <c r="F24" s="103">
        <f>ROUND(D24*E24,2)</f>
        <v>38.729999999999997</v>
      </c>
    </row>
    <row r="25" spans="1:9" ht="15" x14ac:dyDescent="0.25">
      <c r="A25" s="98"/>
      <c r="B25" s="88"/>
      <c r="C25" s="2"/>
      <c r="D25" s="98"/>
      <c r="E25" s="137"/>
      <c r="F25" s="2"/>
    </row>
    <row r="26" spans="1:9" ht="15" x14ac:dyDescent="0.25">
      <c r="A26" s="98"/>
      <c r="B26" s="88"/>
      <c r="C26" s="2"/>
      <c r="D26" s="98"/>
      <c r="E26" s="57" t="s">
        <v>83</v>
      </c>
      <c r="F26" s="100">
        <f>SUM(F6:F24)</f>
        <v>627.23</v>
      </c>
    </row>
  </sheetData>
  <mergeCells count="3">
    <mergeCell ref="A1:F1"/>
    <mergeCell ref="B3:F3"/>
    <mergeCell ref="I3:N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89" zoomScaleNormal="89" workbookViewId="0">
      <selection activeCell="A4" sqref="A4"/>
    </sheetView>
  </sheetViews>
  <sheetFormatPr defaultRowHeight="12.75" x14ac:dyDescent="0.2"/>
  <cols>
    <col min="1" max="1" width="12" customWidth="1"/>
    <col min="2" max="2" width="47.85546875" customWidth="1"/>
    <col min="3" max="3" width="6.85546875" customWidth="1"/>
    <col min="4" max="5" width="9.28515625" customWidth="1"/>
    <col min="6" max="6" width="11" customWidth="1"/>
  </cols>
  <sheetData>
    <row r="1" spans="1:10" ht="37.5" customHeight="1" x14ac:dyDescent="0.2">
      <c r="A1" s="218" t="s">
        <v>391</v>
      </c>
      <c r="B1" s="218"/>
      <c r="C1" s="218"/>
      <c r="D1" s="218"/>
      <c r="E1" s="218"/>
      <c r="F1" s="218"/>
    </row>
    <row r="2" spans="1:10" ht="15" x14ac:dyDescent="0.25">
      <c r="A2" s="133"/>
      <c r="B2" s="88"/>
      <c r="C2" s="2"/>
      <c r="D2" s="2"/>
      <c r="E2" s="2"/>
      <c r="F2" s="2"/>
    </row>
    <row r="3" spans="1:10" ht="15" x14ac:dyDescent="0.2">
      <c r="A3" s="119" t="s">
        <v>499</v>
      </c>
      <c r="B3" s="213" t="s">
        <v>391</v>
      </c>
      <c r="C3" s="213"/>
      <c r="D3" s="213"/>
      <c r="E3" s="213"/>
      <c r="F3" s="213"/>
      <c r="J3" s="45"/>
    </row>
    <row r="4" spans="1:10" ht="15" x14ac:dyDescent="0.25">
      <c r="A4" s="2"/>
      <c r="B4" s="88"/>
      <c r="C4" s="2"/>
      <c r="D4" s="2"/>
      <c r="E4" s="2"/>
      <c r="F4" s="2"/>
    </row>
    <row r="5" spans="1:10" ht="14.25" x14ac:dyDescent="0.2">
      <c r="A5" s="52" t="s">
        <v>27</v>
      </c>
      <c r="B5" s="53" t="s">
        <v>28</v>
      </c>
      <c r="C5" s="53" t="s">
        <v>29</v>
      </c>
      <c r="D5" s="53" t="s">
        <v>30</v>
      </c>
      <c r="E5" s="53" t="s">
        <v>82</v>
      </c>
      <c r="F5" s="53" t="s">
        <v>83</v>
      </c>
    </row>
    <row r="6" spans="1:10" ht="28.5" customHeight="1" x14ac:dyDescent="0.2">
      <c r="A6" s="134" t="s">
        <v>350</v>
      </c>
      <c r="B6" s="169" t="s">
        <v>352</v>
      </c>
      <c r="C6" s="170" t="s">
        <v>21</v>
      </c>
      <c r="D6" s="171">
        <v>6</v>
      </c>
      <c r="E6" s="103">
        <f>ROUND(5.41*1.2619,2)</f>
        <v>6.83</v>
      </c>
      <c r="F6" s="103">
        <f>ROUND(D6*E6,2)</f>
        <v>40.98</v>
      </c>
      <c r="H6" s="45"/>
    </row>
    <row r="7" spans="1:10" ht="30" x14ac:dyDescent="0.2">
      <c r="A7" s="134" t="s">
        <v>351</v>
      </c>
      <c r="B7" s="136" t="s">
        <v>353</v>
      </c>
      <c r="C7" s="172" t="s">
        <v>21</v>
      </c>
      <c r="D7" s="171">
        <v>6</v>
      </c>
      <c r="E7" s="103">
        <f>ROUND(23.69*1.2619,2)</f>
        <v>29.89</v>
      </c>
      <c r="F7" s="103">
        <f t="shared" ref="F7:F26" si="0">ROUND(D7*E7,2)</f>
        <v>179.34</v>
      </c>
      <c r="H7" s="45"/>
    </row>
    <row r="8" spans="1:10" ht="31.5" customHeight="1" x14ac:dyDescent="0.2">
      <c r="A8" s="91">
        <v>9835</v>
      </c>
      <c r="B8" s="124" t="s">
        <v>387</v>
      </c>
      <c r="C8" s="172" t="s">
        <v>21</v>
      </c>
      <c r="D8" s="171">
        <v>48</v>
      </c>
      <c r="E8" s="103">
        <f>ROUND(3.89*1.2619,2)</f>
        <v>4.91</v>
      </c>
      <c r="F8" s="103">
        <f t="shared" si="0"/>
        <v>235.68</v>
      </c>
    </row>
    <row r="9" spans="1:10" ht="15" x14ac:dyDescent="0.2">
      <c r="A9" s="91" t="s">
        <v>152</v>
      </c>
      <c r="B9" s="136" t="s">
        <v>329</v>
      </c>
      <c r="C9" s="172" t="s">
        <v>26</v>
      </c>
      <c r="D9" s="171">
        <v>5</v>
      </c>
      <c r="E9" s="103">
        <v>10.14</v>
      </c>
      <c r="F9" s="103">
        <f t="shared" si="0"/>
        <v>50.7</v>
      </c>
    </row>
    <row r="10" spans="1:10" ht="15" x14ac:dyDescent="0.2">
      <c r="A10" s="91" t="s">
        <v>152</v>
      </c>
      <c r="B10" s="90" t="s">
        <v>334</v>
      </c>
      <c r="C10" s="173" t="s">
        <v>26</v>
      </c>
      <c r="D10" s="171">
        <v>4</v>
      </c>
      <c r="E10" s="91">
        <v>33.979999999999997</v>
      </c>
      <c r="F10" s="103">
        <f t="shared" si="0"/>
        <v>135.91999999999999</v>
      </c>
    </row>
    <row r="11" spans="1:10" ht="30" x14ac:dyDescent="0.2">
      <c r="A11" s="134" t="s">
        <v>354</v>
      </c>
      <c r="B11" s="136" t="s">
        <v>364</v>
      </c>
      <c r="C11" s="170" t="s">
        <v>26</v>
      </c>
      <c r="D11" s="171">
        <v>5</v>
      </c>
      <c r="E11" s="103">
        <f>ROUND(1.34*1.2619,2)</f>
        <v>1.69</v>
      </c>
      <c r="F11" s="103">
        <f t="shared" si="0"/>
        <v>8.4499999999999993</v>
      </c>
      <c r="H11" s="45"/>
    </row>
    <row r="12" spans="1:10" ht="16.5" customHeight="1" x14ac:dyDescent="0.2">
      <c r="A12" s="134" t="s">
        <v>355</v>
      </c>
      <c r="B12" s="136" t="s">
        <v>365</v>
      </c>
      <c r="C12" s="172" t="s">
        <v>26</v>
      </c>
      <c r="D12" s="171">
        <v>4</v>
      </c>
      <c r="E12" s="103">
        <f>ROUND(1*1.2619,2)</f>
        <v>1.26</v>
      </c>
      <c r="F12" s="103">
        <f>ROUND(D12*E12,2)</f>
        <v>5.04</v>
      </c>
      <c r="H12" s="45"/>
    </row>
    <row r="13" spans="1:10" ht="15.75" customHeight="1" x14ac:dyDescent="0.2">
      <c r="A13" s="134" t="s">
        <v>356</v>
      </c>
      <c r="B13" s="136" t="s">
        <v>366</v>
      </c>
      <c r="C13" s="172" t="s">
        <v>26</v>
      </c>
      <c r="D13" s="171">
        <v>1</v>
      </c>
      <c r="E13" s="103">
        <f>ROUND(0.57*1.2619,2)</f>
        <v>0.72</v>
      </c>
      <c r="F13" s="103">
        <f t="shared" si="0"/>
        <v>0.72</v>
      </c>
      <c r="H13" s="45"/>
    </row>
    <row r="14" spans="1:10" ht="30" x14ac:dyDescent="0.2">
      <c r="A14" s="134" t="s">
        <v>357</v>
      </c>
      <c r="B14" s="136" t="s">
        <v>367</v>
      </c>
      <c r="C14" s="172" t="s">
        <v>26</v>
      </c>
      <c r="D14" s="171">
        <v>1</v>
      </c>
      <c r="E14" s="105">
        <f>ROUND(1.74*1.2619,2)</f>
        <v>2.2000000000000002</v>
      </c>
      <c r="F14" s="103">
        <f t="shared" si="0"/>
        <v>2.2000000000000002</v>
      </c>
      <c r="H14" s="45"/>
    </row>
    <row r="15" spans="1:10" ht="17.25" customHeight="1" x14ac:dyDescent="0.2">
      <c r="A15" s="134" t="s">
        <v>358</v>
      </c>
      <c r="B15" s="136" t="s">
        <v>368</v>
      </c>
      <c r="C15" s="173" t="s">
        <v>26</v>
      </c>
      <c r="D15" s="171">
        <v>4</v>
      </c>
      <c r="E15" s="103">
        <f>ROUND(4.98*1.2619,2)</f>
        <v>6.28</v>
      </c>
      <c r="F15" s="103">
        <f t="shared" si="0"/>
        <v>25.12</v>
      </c>
      <c r="H15" s="45"/>
    </row>
    <row r="16" spans="1:10" ht="30" x14ac:dyDescent="0.2">
      <c r="A16" s="134" t="s">
        <v>359</v>
      </c>
      <c r="B16" s="136" t="s">
        <v>369</v>
      </c>
      <c r="C16" s="170" t="s">
        <v>26</v>
      </c>
      <c r="D16" s="171">
        <v>2</v>
      </c>
      <c r="E16" s="103">
        <f>ROUND(3.19*1.2619,2)</f>
        <v>4.03</v>
      </c>
      <c r="F16" s="103">
        <f t="shared" si="0"/>
        <v>8.06</v>
      </c>
      <c r="H16" s="45"/>
    </row>
    <row r="17" spans="1:10" ht="30" x14ac:dyDescent="0.2">
      <c r="A17" s="134" t="s">
        <v>360</v>
      </c>
      <c r="B17" s="136" t="s">
        <v>370</v>
      </c>
      <c r="C17" s="172" t="s">
        <v>26</v>
      </c>
      <c r="D17" s="171">
        <v>4</v>
      </c>
      <c r="E17" s="103">
        <f>ROUND(2.94*1.2619,2)</f>
        <v>3.71</v>
      </c>
      <c r="F17" s="103">
        <f t="shared" si="0"/>
        <v>14.84</v>
      </c>
      <c r="H17" s="45"/>
    </row>
    <row r="18" spans="1:10" ht="30" x14ac:dyDescent="0.2">
      <c r="A18" s="134" t="s">
        <v>361</v>
      </c>
      <c r="B18" s="136" t="s">
        <v>371</v>
      </c>
      <c r="C18" s="173" t="s">
        <v>26</v>
      </c>
      <c r="D18" s="171">
        <v>1</v>
      </c>
      <c r="E18" s="103">
        <f>ROUND(13.32*1.2619,2)</f>
        <v>16.809999999999999</v>
      </c>
      <c r="F18" s="103">
        <f t="shared" si="0"/>
        <v>16.809999999999999</v>
      </c>
      <c r="H18" s="45"/>
    </row>
    <row r="19" spans="1:10" ht="30.75" customHeight="1" x14ac:dyDescent="0.2">
      <c r="A19" s="134" t="s">
        <v>362</v>
      </c>
      <c r="B19" s="136" t="s">
        <v>372</v>
      </c>
      <c r="C19" s="170" t="s">
        <v>26</v>
      </c>
      <c r="D19" s="171">
        <v>4</v>
      </c>
      <c r="E19" s="103">
        <f>ROUND(45.35*1.2619,2)</f>
        <v>57.23</v>
      </c>
      <c r="F19" s="103">
        <f t="shared" si="0"/>
        <v>228.92</v>
      </c>
      <c r="H19" s="45"/>
    </row>
    <row r="20" spans="1:10" ht="30" x14ac:dyDescent="0.2">
      <c r="A20" s="134" t="s">
        <v>363</v>
      </c>
      <c r="B20" s="136" t="s">
        <v>373</v>
      </c>
      <c r="C20" s="172" t="s">
        <v>26</v>
      </c>
      <c r="D20" s="171">
        <v>1</v>
      </c>
      <c r="E20" s="103">
        <f>ROUND(6.87*1.2619,2)</f>
        <v>8.67</v>
      </c>
      <c r="F20" s="103">
        <f t="shared" si="0"/>
        <v>8.67</v>
      </c>
      <c r="H20" s="45"/>
    </row>
    <row r="21" spans="1:10" ht="30" x14ac:dyDescent="0.2">
      <c r="A21" s="91" t="s">
        <v>152</v>
      </c>
      <c r="B21" s="124" t="s">
        <v>335</v>
      </c>
      <c r="C21" s="172" t="s">
        <v>26</v>
      </c>
      <c r="D21" s="171">
        <v>1</v>
      </c>
      <c r="E21" s="168">
        <v>6017.62</v>
      </c>
      <c r="F21" s="103">
        <f t="shared" si="0"/>
        <v>6017.62</v>
      </c>
      <c r="H21" s="167"/>
    </row>
    <row r="22" spans="1:10" ht="45" x14ac:dyDescent="0.2">
      <c r="A22" s="134" t="s">
        <v>408</v>
      </c>
      <c r="B22" s="124" t="s">
        <v>389</v>
      </c>
      <c r="C22" s="172" t="s">
        <v>26</v>
      </c>
      <c r="D22" s="171">
        <v>3</v>
      </c>
      <c r="E22" s="103">
        <f>ROUND(4.27*1.2619,2)</f>
        <v>5.39</v>
      </c>
      <c r="F22" s="103">
        <f t="shared" si="0"/>
        <v>16.170000000000002</v>
      </c>
      <c r="H22" s="45"/>
      <c r="J22" s="146"/>
    </row>
    <row r="23" spans="1:10" ht="20.25" customHeight="1" x14ac:dyDescent="0.2">
      <c r="A23" s="91" t="s">
        <v>152</v>
      </c>
      <c r="B23" s="124" t="s">
        <v>336</v>
      </c>
      <c r="C23" s="173" t="s">
        <v>21</v>
      </c>
      <c r="D23" s="171">
        <v>48</v>
      </c>
      <c r="E23" s="105">
        <v>2</v>
      </c>
      <c r="F23" s="105">
        <f t="shared" si="0"/>
        <v>96</v>
      </c>
      <c r="J23" s="175"/>
    </row>
    <row r="24" spans="1:10" ht="15.75" customHeight="1" x14ac:dyDescent="0.2">
      <c r="A24" s="91" t="s">
        <v>152</v>
      </c>
      <c r="B24" s="124" t="s">
        <v>337</v>
      </c>
      <c r="C24" s="170" t="s">
        <v>26</v>
      </c>
      <c r="D24" s="171">
        <v>5</v>
      </c>
      <c r="E24" s="103">
        <v>331.17</v>
      </c>
      <c r="F24" s="105">
        <f t="shared" si="0"/>
        <v>1655.85</v>
      </c>
      <c r="H24" s="167"/>
      <c r="J24" s="161"/>
    </row>
    <row r="25" spans="1:10" ht="30.75" customHeight="1" x14ac:dyDescent="0.2">
      <c r="A25" s="91" t="s">
        <v>152</v>
      </c>
      <c r="B25" s="124" t="s">
        <v>338</v>
      </c>
      <c r="C25" s="172" t="s">
        <v>26</v>
      </c>
      <c r="D25" s="171">
        <v>3</v>
      </c>
      <c r="E25" s="103">
        <v>407.72</v>
      </c>
      <c r="F25" s="105">
        <f t="shared" si="0"/>
        <v>1223.1600000000001</v>
      </c>
      <c r="H25" s="167"/>
      <c r="J25" s="174"/>
    </row>
    <row r="26" spans="1:10" ht="15" x14ac:dyDescent="0.2">
      <c r="A26" s="91" t="s">
        <v>152</v>
      </c>
      <c r="B26" s="124" t="s">
        <v>339</v>
      </c>
      <c r="C26" s="173" t="s">
        <v>26</v>
      </c>
      <c r="D26" s="171">
        <v>1</v>
      </c>
      <c r="E26" s="103">
        <v>89.04</v>
      </c>
      <c r="F26" s="105">
        <f t="shared" si="0"/>
        <v>89.04</v>
      </c>
      <c r="H26" s="167"/>
      <c r="J26" s="175"/>
    </row>
    <row r="27" spans="1:10" ht="30" x14ac:dyDescent="0.2">
      <c r="A27" s="5" t="s">
        <v>145</v>
      </c>
      <c r="B27" s="136" t="s">
        <v>148</v>
      </c>
      <c r="C27" s="103" t="s">
        <v>20</v>
      </c>
      <c r="D27" s="135">
        <v>6</v>
      </c>
      <c r="E27" s="103">
        <f>ROUND(10.23*1.2619,2)</f>
        <v>12.91</v>
      </c>
      <c r="F27" s="103">
        <f>ROUND(D27*E27,2)</f>
        <v>77.459999999999994</v>
      </c>
      <c r="J27" s="146"/>
    </row>
    <row r="28" spans="1:10" ht="15" x14ac:dyDescent="0.25">
      <c r="A28" s="98"/>
      <c r="B28" s="88"/>
      <c r="C28" s="2"/>
      <c r="D28" s="98"/>
      <c r="E28" s="137"/>
      <c r="F28" s="2"/>
    </row>
    <row r="29" spans="1:10" ht="12.75" customHeight="1" x14ac:dyDescent="0.25">
      <c r="A29" s="98"/>
      <c r="B29" s="88"/>
      <c r="C29" s="2"/>
      <c r="D29" s="98"/>
      <c r="E29" s="57" t="s">
        <v>83</v>
      </c>
      <c r="F29" s="100">
        <f>SUM(F6:F27)</f>
        <v>10136.75</v>
      </c>
      <c r="G29" s="158"/>
    </row>
  </sheetData>
  <mergeCells count="2">
    <mergeCell ref="A1:F1"/>
    <mergeCell ref="B3:F3"/>
  </mergeCells>
  <pageMargins left="0.51181102362204722" right="0.51181102362204722" top="0.78740157480314965" bottom="0.78740157480314965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5</vt:i4>
      </vt:variant>
    </vt:vector>
  </HeadingPairs>
  <TitlesOfParts>
    <vt:vector size="25" baseType="lpstr">
      <vt:lpstr>COMP 1</vt:lpstr>
      <vt:lpstr>COMP 02</vt:lpstr>
      <vt:lpstr>COMP 3</vt:lpstr>
      <vt:lpstr>COMP 4</vt:lpstr>
      <vt:lpstr>COMP 5</vt:lpstr>
      <vt:lpstr>COMP 6 </vt:lpstr>
      <vt:lpstr>COMP 7</vt:lpstr>
      <vt:lpstr>COMP 8</vt:lpstr>
      <vt:lpstr>COMP 9</vt:lpstr>
      <vt:lpstr>COMP 10</vt:lpstr>
      <vt:lpstr>COMP 11</vt:lpstr>
      <vt:lpstr>COMP 12</vt:lpstr>
      <vt:lpstr>COMP 13</vt:lpstr>
      <vt:lpstr>COMP 14</vt:lpstr>
      <vt:lpstr>COMP 15</vt:lpstr>
      <vt:lpstr>COMP 16</vt:lpstr>
      <vt:lpstr>COMP 17</vt:lpstr>
      <vt:lpstr>COMP 18</vt:lpstr>
      <vt:lpstr>COMP 19</vt:lpstr>
      <vt:lpstr>COMP 20</vt:lpstr>
      <vt:lpstr>'COMP 02'!Area_de_impressao</vt:lpstr>
      <vt:lpstr>'COMP 12'!Area_de_impressao</vt:lpstr>
      <vt:lpstr>'COMP 15'!Area_de_impressao</vt:lpstr>
      <vt:lpstr>'COMP 17'!Area_de_impressao</vt:lpstr>
      <vt:lpstr>'COMP 3'!Area_de_impressao</vt:lpstr>
    </vt:vector>
  </TitlesOfParts>
  <Company>CESAN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- APR ASSESORIA PRO-RURAL</dc:creator>
  <cp:lastModifiedBy>Marcelo Rigo Magnago</cp:lastModifiedBy>
  <cp:lastPrinted>2018-05-28T12:38:30Z</cp:lastPrinted>
  <dcterms:created xsi:type="dcterms:W3CDTF">2000-02-24T19:33:01Z</dcterms:created>
  <dcterms:modified xsi:type="dcterms:W3CDTF">2018-09-17T18:15:50Z</dcterms:modified>
</cp:coreProperties>
</file>