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elo.magnago\Desktop\00001 SISTEMA DE ABASTECIMENTO\"/>
    </mc:Choice>
  </mc:AlternateContent>
  <xr:revisionPtr revIDLastSave="0" documentId="8_{C3746829-78B9-4921-8C08-78E797077B3A}" xr6:coauthVersionLast="36" xr6:coauthVersionMax="36" xr10:uidLastSave="{00000000-0000-0000-0000-000000000000}"/>
  <bookViews>
    <workbookView xWindow="32760" yWindow="32760" windowWidth="15345" windowHeight="4470"/>
  </bookViews>
  <sheets>
    <sheet name="PLANILHA" sheetId="4" r:id="rId1"/>
    <sheet name="MEMÓRIA DE CÁLCULO" sheetId="7" r:id="rId2"/>
    <sheet name="CRONOGRAMA" sheetId="2" r:id="rId3"/>
    <sheet name="COMP 1" sheetId="8" r:id="rId4"/>
    <sheet name="COMP 02" sheetId="9" r:id="rId5"/>
    <sheet name="COMP 3" sheetId="10" r:id="rId6"/>
    <sheet name="COMP 4" sheetId="11" r:id="rId7"/>
    <sheet name="COMP 5" sheetId="12" r:id="rId8"/>
    <sheet name="COMP 6 " sheetId="13" r:id="rId9"/>
    <sheet name="COMP 7" sheetId="14" r:id="rId10"/>
    <sheet name="COMP 8" sheetId="15" r:id="rId11"/>
    <sheet name="COMP 9" sheetId="16" r:id="rId12"/>
    <sheet name="COMP 10" sheetId="17" r:id="rId13"/>
    <sheet name="COMP 11" sheetId="18" r:id="rId14"/>
    <sheet name="COMP 12" sheetId="19" r:id="rId15"/>
    <sheet name="COMP 13" sheetId="20" r:id="rId16"/>
    <sheet name="COMP 14" sheetId="21" r:id="rId17"/>
    <sheet name="COMP 15" sheetId="22" r:id="rId18"/>
    <sheet name="COMP 16" sheetId="23" r:id="rId19"/>
    <sheet name="COMP 17" sheetId="24" r:id="rId20"/>
    <sheet name="COMP 18" sheetId="25" r:id="rId21"/>
    <sheet name="COMP 19" sheetId="26" r:id="rId22"/>
    <sheet name="COMP 20" sheetId="27" r:id="rId23"/>
  </sheets>
  <definedNames>
    <definedName name="_xlnm.Print_Area" localSheetId="4">'COMP 02'!$A$1:$F$41</definedName>
    <definedName name="_xlnm.Print_Area" localSheetId="13">'COMP 11'!$A$1:$F$15</definedName>
    <definedName name="_xlnm.Print_Area" localSheetId="14">'COMP 12'!$A$1:$F$52</definedName>
    <definedName name="_xlnm.Print_Area" localSheetId="17">'COMP 15'!$A$1:$F$19</definedName>
    <definedName name="_xlnm.Print_Area" localSheetId="19">'COMP 17'!$A$1:$F$19</definedName>
    <definedName name="_xlnm.Print_Area" localSheetId="22">'COMP 20'!$A$1:$F$24</definedName>
    <definedName name="_xlnm.Print_Area" localSheetId="5">'COMP 3'!$A$1:$F$40</definedName>
    <definedName name="_xlnm.Print_Area" localSheetId="8">'COMP 6 '!$A$1:$F$56</definedName>
    <definedName name="_xlnm.Print_Area" localSheetId="9">'COMP 7'!$A$1:$F$25</definedName>
    <definedName name="_xlnm.Print_Area" localSheetId="10">'COMP 8'!$A$1:$F$26</definedName>
    <definedName name="_xlnm.Print_Area" localSheetId="11">'COMP 9'!$A$1:$F$29</definedName>
    <definedName name="_xlnm.Print_Area" localSheetId="2">CRONOGRAMA!$A$1:$H$19</definedName>
    <definedName name="_xlnm.Print_Area" localSheetId="1">'MEMÓRIA DE CÁLCULO'!$A$1:$L$177</definedName>
    <definedName name="_xlnm.Print_Area" localSheetId="0">PLANILHA!$A$1:$H$165</definedName>
    <definedName name="_xlnm.Print_Titles" localSheetId="0">PLANILHA!$1:$6</definedName>
  </definedNames>
  <calcPr calcId="162913" fullCalcOnLoad="1"/>
</workbook>
</file>

<file path=xl/calcChain.xml><?xml version="1.0" encoding="utf-8"?>
<calcChain xmlns="http://schemas.openxmlformats.org/spreadsheetml/2006/main">
  <c r="G105" i="4" l="1"/>
  <c r="F15" i="23"/>
  <c r="F13" i="23"/>
  <c r="F12" i="23"/>
  <c r="F9" i="23"/>
  <c r="F8" i="23"/>
  <c r="F7" i="14"/>
  <c r="F25" i="14"/>
  <c r="G64" i="4"/>
  <c r="F9" i="14"/>
  <c r="F10" i="14"/>
  <c r="F13" i="14"/>
  <c r="F14" i="14"/>
  <c r="F15" i="14"/>
  <c r="F17" i="14"/>
  <c r="F18" i="14"/>
  <c r="F19" i="14"/>
  <c r="F20" i="14"/>
  <c r="F21" i="14"/>
  <c r="F22" i="14"/>
  <c r="F6" i="14"/>
  <c r="E22" i="27"/>
  <c r="F22" i="27"/>
  <c r="E21" i="27"/>
  <c r="F21" i="27"/>
  <c r="F20" i="27"/>
  <c r="F19" i="27"/>
  <c r="F18" i="27"/>
  <c r="F17" i="27"/>
  <c r="F16" i="27"/>
  <c r="F15" i="27"/>
  <c r="F14" i="27"/>
  <c r="F13" i="27"/>
  <c r="F12" i="27"/>
  <c r="F11" i="27"/>
  <c r="F10" i="27"/>
  <c r="E9" i="27"/>
  <c r="F9" i="27"/>
  <c r="F8" i="27"/>
  <c r="E7" i="27"/>
  <c r="F7" i="27"/>
  <c r="F24" i="27"/>
  <c r="G119" i="4"/>
  <c r="F6" i="27"/>
  <c r="E15" i="26"/>
  <c r="F15" i="26"/>
  <c r="E14" i="26"/>
  <c r="F14" i="26"/>
  <c r="F13" i="26"/>
  <c r="F12" i="26"/>
  <c r="F11" i="26"/>
  <c r="F10" i="26"/>
  <c r="E9" i="26"/>
  <c r="F9" i="26"/>
  <c r="E8" i="26"/>
  <c r="F8" i="26"/>
  <c r="E7" i="26"/>
  <c r="F7" i="26"/>
  <c r="F17" i="26"/>
  <c r="G120" i="4"/>
  <c r="E6" i="26"/>
  <c r="F6" i="26"/>
  <c r="F15" i="25"/>
  <c r="F14" i="25"/>
  <c r="F13" i="25"/>
  <c r="F12" i="25"/>
  <c r="F11" i="25"/>
  <c r="F10" i="25"/>
  <c r="F9" i="25"/>
  <c r="E8" i="25"/>
  <c r="F8" i="25"/>
  <c r="E7" i="25"/>
  <c r="F7" i="25"/>
  <c r="E6" i="25"/>
  <c r="F6" i="25"/>
  <c r="F17" i="25"/>
  <c r="G118" i="4"/>
  <c r="F18" i="24"/>
  <c r="E18" i="24"/>
  <c r="F17" i="24"/>
  <c r="E16" i="24"/>
  <c r="F16" i="24"/>
  <c r="E15" i="24"/>
  <c r="F15" i="24"/>
  <c r="E14" i="24"/>
  <c r="F14" i="24"/>
  <c r="E13" i="24"/>
  <c r="F13" i="24"/>
  <c r="E12" i="24"/>
  <c r="F12" i="24"/>
  <c r="E11" i="24"/>
  <c r="F11" i="24"/>
  <c r="E10" i="24"/>
  <c r="F10" i="24"/>
  <c r="E9" i="24"/>
  <c r="F9" i="24"/>
  <c r="E8" i="24"/>
  <c r="F8" i="24"/>
  <c r="E7" i="24"/>
  <c r="F7" i="24"/>
  <c r="F19" i="24"/>
  <c r="E6" i="24"/>
  <c r="F6" i="24"/>
  <c r="F5" i="24"/>
  <c r="E16" i="23"/>
  <c r="F16" i="23"/>
  <c r="E15" i="23"/>
  <c r="E14" i="23"/>
  <c r="F14" i="23"/>
  <c r="E12" i="23"/>
  <c r="E11" i="23"/>
  <c r="F11" i="23"/>
  <c r="E10" i="23"/>
  <c r="F10" i="23"/>
  <c r="E9" i="23"/>
  <c r="E8" i="23"/>
  <c r="E7" i="23"/>
  <c r="F7" i="23"/>
  <c r="E6" i="23"/>
  <c r="F6" i="23"/>
  <c r="E18" i="22"/>
  <c r="F18" i="22"/>
  <c r="F17" i="22"/>
  <c r="F16" i="22"/>
  <c r="E16" i="22"/>
  <c r="E15" i="22"/>
  <c r="F15" i="22"/>
  <c r="E14" i="22"/>
  <c r="F14" i="22"/>
  <c r="E13" i="22"/>
  <c r="F13" i="22"/>
  <c r="E12" i="22"/>
  <c r="F12" i="22"/>
  <c r="E11" i="22"/>
  <c r="F11" i="22"/>
  <c r="E10" i="22"/>
  <c r="F10" i="22"/>
  <c r="F19" i="22"/>
  <c r="G99" i="4"/>
  <c r="E9" i="22"/>
  <c r="F9" i="22"/>
  <c r="F8" i="22"/>
  <c r="E8" i="22"/>
  <c r="E7" i="22"/>
  <c r="F7" i="22"/>
  <c r="F6" i="22"/>
  <c r="E6" i="22"/>
  <c r="F5" i="22"/>
  <c r="E26" i="21"/>
  <c r="F26" i="21"/>
  <c r="E25" i="21"/>
  <c r="F25" i="21"/>
  <c r="E24" i="21"/>
  <c r="F24" i="21"/>
  <c r="E23" i="21"/>
  <c r="F23" i="21"/>
  <c r="E22" i="21"/>
  <c r="F22" i="21"/>
  <c r="E21" i="21"/>
  <c r="F21" i="21"/>
  <c r="F20" i="21"/>
  <c r="E20" i="21"/>
  <c r="E19" i="21"/>
  <c r="F19" i="21"/>
  <c r="E18" i="21"/>
  <c r="F18" i="21"/>
  <c r="E17" i="21"/>
  <c r="F17" i="21"/>
  <c r="E16" i="21"/>
  <c r="F16" i="21"/>
  <c r="E15" i="21"/>
  <c r="F15" i="21"/>
  <c r="E14" i="21"/>
  <c r="F14" i="21"/>
  <c r="E13" i="21"/>
  <c r="F13" i="21"/>
  <c r="F12" i="21"/>
  <c r="E12" i="21"/>
  <c r="E11" i="21"/>
  <c r="F11" i="21"/>
  <c r="E10" i="21"/>
  <c r="F10" i="21"/>
  <c r="E9" i="21"/>
  <c r="F9" i="21"/>
  <c r="E8" i="21"/>
  <c r="F8" i="21"/>
  <c r="E7" i="21"/>
  <c r="F7" i="21"/>
  <c r="F6" i="21"/>
  <c r="E6" i="21"/>
  <c r="F55" i="20"/>
  <c r="F54" i="20"/>
  <c r="F53" i="20"/>
  <c r="F52" i="20"/>
  <c r="F51" i="20"/>
  <c r="F56" i="20"/>
  <c r="F39" i="20"/>
  <c r="F38" i="20"/>
  <c r="F37" i="20"/>
  <c r="F36" i="20"/>
  <c r="F35" i="20"/>
  <c r="F34" i="20"/>
  <c r="F33" i="20"/>
  <c r="F40" i="20"/>
  <c r="F58" i="20"/>
  <c r="G94" i="4"/>
  <c r="F32" i="20"/>
  <c r="E31" i="20"/>
  <c r="F31" i="20"/>
  <c r="F25" i="20"/>
  <c r="F26" i="20"/>
  <c r="F24" i="20"/>
  <c r="F23" i="20"/>
  <c r="E22" i="20"/>
  <c r="F22" i="20"/>
  <c r="F21" i="20"/>
  <c r="F20" i="20"/>
  <c r="F19" i="20"/>
  <c r="F18" i="20"/>
  <c r="F17" i="20"/>
  <c r="F16" i="20"/>
  <c r="F15" i="20"/>
  <c r="F14" i="20"/>
  <c r="F13" i="20"/>
  <c r="F12" i="20"/>
  <c r="F11" i="20"/>
  <c r="F10" i="20"/>
  <c r="F9" i="20"/>
  <c r="E49" i="19"/>
  <c r="F49" i="19"/>
  <c r="E47" i="19"/>
  <c r="F47" i="19"/>
  <c r="E46" i="19"/>
  <c r="F46" i="19"/>
  <c r="F44" i="19"/>
  <c r="F43" i="19"/>
  <c r="F42" i="19"/>
  <c r="F41" i="19"/>
  <c r="F40" i="19"/>
  <c r="F50" i="19"/>
  <c r="F39" i="19"/>
  <c r="F34" i="19"/>
  <c r="F33" i="19"/>
  <c r="F32" i="19"/>
  <c r="F31" i="19"/>
  <c r="F30" i="19"/>
  <c r="F29" i="19"/>
  <c r="F28" i="19"/>
  <c r="F27" i="19"/>
  <c r="F26" i="19"/>
  <c r="F25" i="19"/>
  <c r="F35" i="19"/>
  <c r="F20" i="19"/>
  <c r="E19" i="19"/>
  <c r="F19" i="19"/>
  <c r="F18" i="19"/>
  <c r="E18" i="19"/>
  <c r="E17" i="19"/>
  <c r="F17" i="19"/>
  <c r="F16" i="19"/>
  <c r="E16" i="19"/>
  <c r="E15" i="19"/>
  <c r="F15" i="19"/>
  <c r="F14" i="19"/>
  <c r="E14" i="19"/>
  <c r="E13" i="19"/>
  <c r="F13" i="19"/>
  <c r="F12" i="19"/>
  <c r="E12" i="19"/>
  <c r="E11" i="19"/>
  <c r="F11" i="19"/>
  <c r="F10" i="19"/>
  <c r="E10" i="19"/>
  <c r="E9" i="19"/>
  <c r="F9" i="19"/>
  <c r="F8" i="19"/>
  <c r="E8" i="19"/>
  <c r="E7" i="19"/>
  <c r="F7" i="19"/>
  <c r="F6" i="19"/>
  <c r="E6" i="19"/>
  <c r="E13" i="18"/>
  <c r="F13" i="18"/>
  <c r="F12" i="18"/>
  <c r="E12" i="18"/>
  <c r="E11" i="18"/>
  <c r="F11" i="18"/>
  <c r="F10" i="18"/>
  <c r="E9" i="18"/>
  <c r="F9" i="18"/>
  <c r="E8" i="18"/>
  <c r="F8" i="18"/>
  <c r="E7" i="18"/>
  <c r="F7" i="18"/>
  <c r="E6" i="18"/>
  <c r="F6" i="18"/>
  <c r="F15" i="18"/>
  <c r="G77" i="4"/>
  <c r="H77" i="4"/>
  <c r="E14" i="17"/>
  <c r="F14" i="17"/>
  <c r="F13" i="17"/>
  <c r="F12" i="17"/>
  <c r="F11" i="17"/>
  <c r="F10" i="17"/>
  <c r="F9" i="17"/>
  <c r="F8" i="17"/>
  <c r="F16" i="17"/>
  <c r="G67" i="4"/>
  <c r="F7" i="17"/>
  <c r="F6" i="17"/>
  <c r="E27" i="16"/>
  <c r="F27" i="16"/>
  <c r="F26" i="16"/>
  <c r="F25" i="16"/>
  <c r="F24" i="16"/>
  <c r="F23" i="16"/>
  <c r="E22" i="16"/>
  <c r="F22" i="16"/>
  <c r="F21" i="16"/>
  <c r="E20" i="16"/>
  <c r="F20" i="16"/>
  <c r="E19" i="16"/>
  <c r="F19" i="16"/>
  <c r="E18" i="16"/>
  <c r="F18" i="16"/>
  <c r="E17" i="16"/>
  <c r="F17" i="16"/>
  <c r="E16" i="16"/>
  <c r="F16" i="16"/>
  <c r="E15" i="16"/>
  <c r="F15" i="16"/>
  <c r="E14" i="16"/>
  <c r="F14" i="16"/>
  <c r="E13" i="16"/>
  <c r="F13" i="16"/>
  <c r="E12" i="16"/>
  <c r="F12" i="16"/>
  <c r="E11" i="16"/>
  <c r="F11" i="16"/>
  <c r="F10" i="16"/>
  <c r="F9" i="16"/>
  <c r="E8" i="16"/>
  <c r="F8" i="16"/>
  <c r="F29" i="16"/>
  <c r="G66" i="4"/>
  <c r="E7" i="16"/>
  <c r="F7" i="16"/>
  <c r="E6" i="16"/>
  <c r="F6" i="16"/>
  <c r="E24" i="15"/>
  <c r="F24" i="15"/>
  <c r="E23" i="15"/>
  <c r="F23" i="15"/>
  <c r="E22" i="15"/>
  <c r="F22" i="15"/>
  <c r="E21" i="15"/>
  <c r="F21" i="15"/>
  <c r="F20" i="15"/>
  <c r="E19" i="15"/>
  <c r="F19" i="15"/>
  <c r="F18" i="15"/>
  <c r="E17" i="15"/>
  <c r="F17" i="15"/>
  <c r="E16" i="15"/>
  <c r="F16" i="15"/>
  <c r="F15" i="15"/>
  <c r="E14" i="15"/>
  <c r="F14" i="15"/>
  <c r="E13" i="15"/>
  <c r="F13" i="15"/>
  <c r="E12" i="15"/>
  <c r="F12" i="15"/>
  <c r="E11" i="15"/>
  <c r="F11" i="15"/>
  <c r="F10" i="15"/>
  <c r="E10" i="15"/>
  <c r="F9" i="15"/>
  <c r="E8" i="15"/>
  <c r="F8" i="15"/>
  <c r="E7" i="15"/>
  <c r="F7" i="15"/>
  <c r="E6" i="15"/>
  <c r="F6" i="15"/>
  <c r="E23" i="14"/>
  <c r="F23" i="14"/>
  <c r="E22" i="14"/>
  <c r="E17" i="14"/>
  <c r="E16" i="14"/>
  <c r="F16" i="14"/>
  <c r="E12" i="14"/>
  <c r="F12" i="14"/>
  <c r="E11" i="14"/>
  <c r="F11" i="14"/>
  <c r="E9" i="14"/>
  <c r="E8" i="14"/>
  <c r="F8" i="14"/>
  <c r="E7" i="14"/>
  <c r="E54" i="13"/>
  <c r="F54" i="13"/>
  <c r="E53" i="13"/>
  <c r="F53" i="13"/>
  <c r="E52" i="13"/>
  <c r="F52" i="13"/>
  <c r="F51" i="13"/>
  <c r="E51" i="13"/>
  <c r="E50" i="13"/>
  <c r="F50" i="13"/>
  <c r="E49" i="13"/>
  <c r="F49" i="13"/>
  <c r="E48" i="13"/>
  <c r="F48" i="13"/>
  <c r="F47" i="13"/>
  <c r="E46" i="13"/>
  <c r="F46" i="13"/>
  <c r="E45" i="13"/>
  <c r="F45" i="13"/>
  <c r="E44" i="13"/>
  <c r="F44" i="13"/>
  <c r="E43" i="13"/>
  <c r="F43" i="13"/>
  <c r="E42" i="13"/>
  <c r="F42" i="13"/>
  <c r="E41" i="13"/>
  <c r="F41" i="13"/>
  <c r="F40" i="13"/>
  <c r="F39" i="13"/>
  <c r="F38" i="13"/>
  <c r="F37" i="13"/>
  <c r="F36" i="13"/>
  <c r="E36" i="13"/>
  <c r="F35" i="13"/>
  <c r="F34" i="13"/>
  <c r="F33" i="13"/>
  <c r="F32" i="13"/>
  <c r="E31" i="13"/>
  <c r="F31" i="13"/>
  <c r="F30" i="13"/>
  <c r="F29" i="13"/>
  <c r="E28" i="13"/>
  <c r="F28" i="13"/>
  <c r="F27" i="13"/>
  <c r="E26" i="13"/>
  <c r="F26" i="13"/>
  <c r="F25" i="13"/>
  <c r="E25" i="13"/>
  <c r="E24" i="13"/>
  <c r="F24" i="13"/>
  <c r="E23" i="13"/>
  <c r="F23" i="13"/>
  <c r="E22" i="13"/>
  <c r="F22" i="13"/>
  <c r="E20" i="13"/>
  <c r="F19" i="13"/>
  <c r="E18" i="13"/>
  <c r="F18" i="13"/>
  <c r="E17" i="13"/>
  <c r="F17" i="13"/>
  <c r="F16" i="13"/>
  <c r="E15" i="13"/>
  <c r="F15" i="13"/>
  <c r="E14" i="13"/>
  <c r="F14" i="13"/>
  <c r="E13" i="13"/>
  <c r="F13" i="13"/>
  <c r="E12" i="13"/>
  <c r="F12" i="13"/>
  <c r="F11" i="13"/>
  <c r="E11" i="13"/>
  <c r="E10" i="13"/>
  <c r="F10" i="13"/>
  <c r="E9" i="13"/>
  <c r="F9" i="13"/>
  <c r="E8" i="13"/>
  <c r="F8" i="13"/>
  <c r="E7" i="13"/>
  <c r="F7" i="13"/>
  <c r="E6" i="13"/>
  <c r="F6" i="13"/>
  <c r="F55" i="12"/>
  <c r="F54" i="12"/>
  <c r="F53" i="12"/>
  <c r="F52" i="12"/>
  <c r="F51" i="12"/>
  <c r="F50" i="12"/>
  <c r="F49" i="12"/>
  <c r="F56" i="12"/>
  <c r="F39" i="12"/>
  <c r="F38" i="12"/>
  <c r="F37" i="12"/>
  <c r="F36" i="12"/>
  <c r="F35" i="12"/>
  <c r="F34" i="12"/>
  <c r="F33" i="12"/>
  <c r="F32" i="12"/>
  <c r="E31" i="12"/>
  <c r="F31" i="12"/>
  <c r="F25" i="12"/>
  <c r="F24" i="12"/>
  <c r="F23" i="12"/>
  <c r="E22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26" i="12"/>
  <c r="E10" i="11"/>
  <c r="F10" i="11"/>
  <c r="E9" i="11"/>
  <c r="F9" i="11"/>
  <c r="E8" i="11"/>
  <c r="F8" i="11"/>
  <c r="E7" i="11"/>
  <c r="F7" i="11"/>
  <c r="F12" i="11"/>
  <c r="G37" i="4"/>
  <c r="E6" i="11"/>
  <c r="F6" i="11"/>
  <c r="E39" i="10"/>
  <c r="F39" i="10"/>
  <c r="E38" i="10"/>
  <c r="F38" i="10"/>
  <c r="E37" i="10"/>
  <c r="F37" i="10"/>
  <c r="E36" i="10"/>
  <c r="F36" i="10"/>
  <c r="E35" i="10"/>
  <c r="F35" i="10"/>
  <c r="E34" i="10"/>
  <c r="F34" i="10"/>
  <c r="E33" i="10"/>
  <c r="F33" i="10"/>
  <c r="E32" i="10"/>
  <c r="F32" i="10"/>
  <c r="E31" i="10"/>
  <c r="F31" i="10"/>
  <c r="E30" i="10"/>
  <c r="F30" i="10"/>
  <c r="E29" i="10"/>
  <c r="F29" i="10"/>
  <c r="E28" i="10"/>
  <c r="F28" i="10"/>
  <c r="E27" i="10"/>
  <c r="F27" i="10"/>
  <c r="E26" i="10"/>
  <c r="F26" i="10"/>
  <c r="E25" i="10"/>
  <c r="F25" i="10"/>
  <c r="E24" i="10"/>
  <c r="F24" i="10"/>
  <c r="E23" i="10"/>
  <c r="F23" i="10"/>
  <c r="E22" i="10"/>
  <c r="F22" i="10"/>
  <c r="E21" i="10"/>
  <c r="F21" i="10"/>
  <c r="E20" i="10"/>
  <c r="F20" i="10"/>
  <c r="E19" i="10"/>
  <c r="F19" i="10"/>
  <c r="E18" i="10"/>
  <c r="F18" i="10"/>
  <c r="E17" i="10"/>
  <c r="F17" i="10"/>
  <c r="E16" i="10"/>
  <c r="F16" i="10"/>
  <c r="E15" i="10"/>
  <c r="F15" i="10"/>
  <c r="E14" i="10"/>
  <c r="F14" i="10"/>
  <c r="E13" i="10"/>
  <c r="F13" i="10"/>
  <c r="E12" i="10"/>
  <c r="F12" i="10"/>
  <c r="E11" i="10"/>
  <c r="F11" i="10"/>
  <c r="E10" i="10"/>
  <c r="F10" i="10"/>
  <c r="E9" i="10"/>
  <c r="F9" i="10"/>
  <c r="E8" i="10"/>
  <c r="F8" i="10"/>
  <c r="E7" i="10"/>
  <c r="F7" i="10"/>
  <c r="E6" i="10"/>
  <c r="F6" i="10"/>
  <c r="F40" i="10"/>
  <c r="G36" i="4"/>
  <c r="H36" i="4"/>
  <c r="E23" i="9"/>
  <c r="F23" i="9"/>
  <c r="E22" i="9"/>
  <c r="F22" i="9"/>
  <c r="E21" i="9"/>
  <c r="F21" i="9"/>
  <c r="F20" i="9"/>
  <c r="F19" i="9"/>
  <c r="F18" i="9"/>
  <c r="E18" i="9"/>
  <c r="E17" i="9"/>
  <c r="F17" i="9"/>
  <c r="F16" i="9"/>
  <c r="F15" i="9"/>
  <c r="F14" i="9"/>
  <c r="E13" i="9"/>
  <c r="F13" i="9"/>
  <c r="F12" i="9"/>
  <c r="E11" i="9"/>
  <c r="F11" i="9"/>
  <c r="F10" i="9"/>
  <c r="F9" i="9"/>
  <c r="F8" i="9"/>
  <c r="F7" i="9"/>
  <c r="F6" i="9"/>
  <c r="F25" i="9"/>
  <c r="G34" i="4"/>
  <c r="H34" i="4"/>
  <c r="F12" i="8"/>
  <c r="F11" i="8"/>
  <c r="F10" i="8"/>
  <c r="F9" i="8"/>
  <c r="F8" i="8"/>
  <c r="F7" i="8"/>
  <c r="F6" i="8"/>
  <c r="F14" i="8"/>
  <c r="G103" i="4"/>
  <c r="L130" i="7"/>
  <c r="F78" i="4"/>
  <c r="H78" i="4"/>
  <c r="G19" i="4"/>
  <c r="G86" i="4"/>
  <c r="H86" i="4"/>
  <c r="H144" i="7"/>
  <c r="H145" i="7"/>
  <c r="L158" i="7"/>
  <c r="F102" i="4"/>
  <c r="H102" i="4"/>
  <c r="H154" i="7"/>
  <c r="L154" i="7"/>
  <c r="F100" i="4"/>
  <c r="H100" i="4"/>
  <c r="E154" i="7"/>
  <c r="H156" i="7"/>
  <c r="I156" i="7"/>
  <c r="L156" i="7"/>
  <c r="F101" i="4"/>
  <c r="H101" i="4"/>
  <c r="I169" i="7"/>
  <c r="L169" i="7"/>
  <c r="F112" i="4"/>
  <c r="H112" i="4"/>
  <c r="I167" i="7"/>
  <c r="L167" i="7"/>
  <c r="F110" i="4"/>
  <c r="H110" i="4"/>
  <c r="F10" i="4"/>
  <c r="H10" i="4"/>
  <c r="L127" i="7"/>
  <c r="F75" i="4"/>
  <c r="H75" i="4"/>
  <c r="L126" i="7"/>
  <c r="L125" i="7"/>
  <c r="F74" i="4"/>
  <c r="H71" i="7"/>
  <c r="I71" i="7"/>
  <c r="L71" i="7"/>
  <c r="F44" i="4"/>
  <c r="H44" i="4"/>
  <c r="H70" i="7"/>
  <c r="I70" i="7"/>
  <c r="L70" i="7"/>
  <c r="F43" i="4"/>
  <c r="H43" i="4"/>
  <c r="I58" i="7"/>
  <c r="L58" i="7"/>
  <c r="F31" i="4"/>
  <c r="H31" i="4"/>
  <c r="I57" i="7"/>
  <c r="L57" i="7"/>
  <c r="F30" i="4"/>
  <c r="H30" i="4"/>
  <c r="I56" i="7"/>
  <c r="L56" i="7"/>
  <c r="F29" i="4"/>
  <c r="H29" i="4"/>
  <c r="L53" i="7"/>
  <c r="F26" i="4"/>
  <c r="H26" i="4"/>
  <c r="H40" i="7"/>
  <c r="L40" i="7"/>
  <c r="F23" i="4"/>
  <c r="H24" i="7"/>
  <c r="I24" i="7"/>
  <c r="L24" i="7"/>
  <c r="F19" i="4"/>
  <c r="H19" i="4"/>
  <c r="L176" i="7"/>
  <c r="F119" i="4"/>
  <c r="H119" i="4"/>
  <c r="L177" i="7"/>
  <c r="F120" i="4"/>
  <c r="H120" i="4"/>
  <c r="L175" i="7"/>
  <c r="F118" i="4"/>
  <c r="H118" i="4"/>
  <c r="B175" i="7"/>
  <c r="B176" i="7"/>
  <c r="B177" i="7"/>
  <c r="L174" i="7"/>
  <c r="F117" i="4"/>
  <c r="H117" i="4"/>
  <c r="B174" i="7"/>
  <c r="B173" i="7"/>
  <c r="L172" i="7"/>
  <c r="F115" i="4"/>
  <c r="H115" i="4"/>
  <c r="L173" i="7"/>
  <c r="F116" i="4"/>
  <c r="H116" i="4"/>
  <c r="B172" i="7"/>
  <c r="L171" i="7"/>
  <c r="F114" i="4"/>
  <c r="H114" i="4"/>
  <c r="L170" i="7"/>
  <c r="F113" i="4"/>
  <c r="H113" i="4"/>
  <c r="B171" i="7"/>
  <c r="B170" i="7"/>
  <c r="B169" i="7"/>
  <c r="I168" i="7"/>
  <c r="L168" i="7"/>
  <c r="F111" i="4"/>
  <c r="H111" i="4"/>
  <c r="B168" i="7"/>
  <c r="B167" i="7"/>
  <c r="I166" i="7"/>
  <c r="L166" i="7"/>
  <c r="F109" i="4"/>
  <c r="H109" i="4"/>
  <c r="B166" i="7"/>
  <c r="L165" i="7"/>
  <c r="F108" i="4"/>
  <c r="H108" i="4"/>
  <c r="B165" i="7"/>
  <c r="B164" i="7"/>
  <c r="L161" i="7"/>
  <c r="F104" i="4"/>
  <c r="L162" i="7"/>
  <c r="F105" i="4"/>
  <c r="H105" i="4"/>
  <c r="B162" i="7"/>
  <c r="B161" i="7"/>
  <c r="L160" i="7"/>
  <c r="F103" i="4"/>
  <c r="H103" i="4"/>
  <c r="B160" i="7"/>
  <c r="B158" i="7"/>
  <c r="B156" i="7"/>
  <c r="B154" i="7"/>
  <c r="L153" i="7"/>
  <c r="F99" i="4"/>
  <c r="B153" i="7"/>
  <c r="B152" i="7"/>
  <c r="L149" i="7"/>
  <c r="F95" i="4"/>
  <c r="L150" i="7"/>
  <c r="F96" i="4"/>
  <c r="H96" i="4"/>
  <c r="B150" i="7"/>
  <c r="B149" i="7"/>
  <c r="L148" i="7"/>
  <c r="F94" i="4"/>
  <c r="B148" i="7"/>
  <c r="H147" i="7"/>
  <c r="L147" i="7"/>
  <c r="F93" i="4"/>
  <c r="H93" i="4"/>
  <c r="B147" i="7"/>
  <c r="H146" i="7"/>
  <c r="L146" i="7"/>
  <c r="F92" i="4"/>
  <c r="H92" i="4"/>
  <c r="B146" i="7"/>
  <c r="B143" i="7"/>
  <c r="H142" i="7"/>
  <c r="B142" i="7"/>
  <c r="H141" i="7"/>
  <c r="L141" i="7"/>
  <c r="F89" i="4"/>
  <c r="B141" i="7"/>
  <c r="L140" i="7"/>
  <c r="F88" i="4"/>
  <c r="H88" i="4"/>
  <c r="B140" i="7"/>
  <c r="H139" i="7"/>
  <c r="L139" i="7"/>
  <c r="F87" i="4"/>
  <c r="H87" i="4"/>
  <c r="B139" i="7"/>
  <c r="H138" i="7"/>
  <c r="L138" i="7"/>
  <c r="F86" i="4"/>
  <c r="B138" i="7"/>
  <c r="H137" i="7"/>
  <c r="L137" i="7"/>
  <c r="F85" i="4"/>
  <c r="H85" i="4"/>
  <c r="B137" i="7"/>
  <c r="B136" i="7"/>
  <c r="L134" i="7"/>
  <c r="F82" i="4"/>
  <c r="L133" i="7"/>
  <c r="F81" i="4"/>
  <c r="H81" i="4"/>
  <c r="B134" i="7"/>
  <c r="B133" i="7"/>
  <c r="B132" i="7"/>
  <c r="L129" i="7"/>
  <c r="F77" i="4"/>
  <c r="L128" i="7"/>
  <c r="F76" i="4"/>
  <c r="H76" i="4"/>
  <c r="B129" i="7"/>
  <c r="B128" i="7"/>
  <c r="B127" i="7"/>
  <c r="B125" i="7"/>
  <c r="H124" i="7"/>
  <c r="L124" i="7"/>
  <c r="F73" i="4"/>
  <c r="H73" i="4"/>
  <c r="B124" i="7"/>
  <c r="H123" i="7"/>
  <c r="L123" i="7"/>
  <c r="F72" i="4"/>
  <c r="H72" i="4"/>
  <c r="H71" i="4"/>
  <c r="C13" i="2"/>
  <c r="B123" i="7"/>
  <c r="B122" i="7"/>
  <c r="L120" i="7"/>
  <c r="F69" i="4"/>
  <c r="B120" i="7"/>
  <c r="H119" i="7"/>
  <c r="L119" i="7"/>
  <c r="F68" i="4"/>
  <c r="H68" i="4"/>
  <c r="B119" i="7"/>
  <c r="L118" i="7"/>
  <c r="F67" i="4"/>
  <c r="B118" i="7"/>
  <c r="L116" i="7"/>
  <c r="F65" i="4"/>
  <c r="L117" i="7"/>
  <c r="F66" i="4"/>
  <c r="B117" i="7"/>
  <c r="B116" i="7"/>
  <c r="L115" i="7"/>
  <c r="F64" i="4"/>
  <c r="B115" i="7"/>
  <c r="H114" i="7"/>
  <c r="L114" i="7"/>
  <c r="F63" i="4"/>
  <c r="H63" i="4"/>
  <c r="B114" i="7"/>
  <c r="H108" i="7"/>
  <c r="L108" i="7"/>
  <c r="H107" i="7"/>
  <c r="L107" i="7"/>
  <c r="L106" i="7"/>
  <c r="F58" i="4"/>
  <c r="H58" i="4"/>
  <c r="L113" i="7"/>
  <c r="F62" i="4"/>
  <c r="H62" i="4"/>
  <c r="B113" i="7"/>
  <c r="L112" i="7"/>
  <c r="F61" i="4"/>
  <c r="H61" i="4"/>
  <c r="B112" i="7"/>
  <c r="H111" i="7"/>
  <c r="L111" i="7"/>
  <c r="F60" i="4"/>
  <c r="H60" i="4"/>
  <c r="B111" i="7"/>
  <c r="L110" i="7"/>
  <c r="F59" i="4"/>
  <c r="H59" i="4"/>
  <c r="B110" i="7"/>
  <c r="B106" i="7"/>
  <c r="L105" i="7"/>
  <c r="F57" i="4"/>
  <c r="H57" i="4"/>
  <c r="B105" i="7"/>
  <c r="H103" i="7"/>
  <c r="L103" i="7"/>
  <c r="K102" i="7"/>
  <c r="L102" i="7"/>
  <c r="H102" i="7"/>
  <c r="H101" i="7"/>
  <c r="L101" i="7"/>
  <c r="K100" i="7"/>
  <c r="H100" i="7"/>
  <c r="K99" i="7"/>
  <c r="H99" i="7"/>
  <c r="L99" i="7"/>
  <c r="K98" i="7"/>
  <c r="H98" i="7"/>
  <c r="L98" i="7"/>
  <c r="K97" i="7"/>
  <c r="H97" i="7"/>
  <c r="L97" i="7"/>
  <c r="H96" i="7"/>
  <c r="L96" i="7"/>
  <c r="K95" i="7"/>
  <c r="H95" i="7"/>
  <c r="L95" i="7"/>
  <c r="B94" i="7"/>
  <c r="K91" i="7"/>
  <c r="K89" i="7"/>
  <c r="K88" i="7"/>
  <c r="L88" i="7"/>
  <c r="H90" i="7"/>
  <c r="L90" i="7"/>
  <c r="H91" i="7"/>
  <c r="L91" i="7"/>
  <c r="H92" i="7"/>
  <c r="L92" i="7"/>
  <c r="H89" i="7"/>
  <c r="L89" i="7"/>
  <c r="H88" i="7"/>
  <c r="K87" i="7"/>
  <c r="H87" i="7"/>
  <c r="L87" i="7"/>
  <c r="K86" i="7"/>
  <c r="H86" i="7"/>
  <c r="L86" i="7"/>
  <c r="H85" i="7"/>
  <c r="L85" i="7"/>
  <c r="K84" i="7"/>
  <c r="H84" i="7"/>
  <c r="L84" i="7"/>
  <c r="B83" i="7"/>
  <c r="H81" i="7"/>
  <c r="L81" i="7"/>
  <c r="F54" i="4"/>
  <c r="H54" i="4"/>
  <c r="B81" i="7"/>
  <c r="L80" i="7"/>
  <c r="F53" i="4"/>
  <c r="H53" i="4"/>
  <c r="B80" i="7"/>
  <c r="K79" i="7"/>
  <c r="L79" i="7"/>
  <c r="F52" i="4"/>
  <c r="H52" i="4"/>
  <c r="H79" i="7"/>
  <c r="B79" i="7"/>
  <c r="B78" i="7"/>
  <c r="L76" i="7"/>
  <c r="F49" i="4"/>
  <c r="H49" i="4"/>
  <c r="L75" i="7"/>
  <c r="F48" i="4"/>
  <c r="H48" i="4"/>
  <c r="B76" i="7"/>
  <c r="B75" i="7"/>
  <c r="H74" i="7"/>
  <c r="L74" i="7"/>
  <c r="F47" i="4"/>
  <c r="H47" i="4"/>
  <c r="B74" i="7"/>
  <c r="L73" i="7"/>
  <c r="F46" i="4"/>
  <c r="B73" i="7"/>
  <c r="H72" i="7"/>
  <c r="L72" i="7"/>
  <c r="F45" i="4"/>
  <c r="H45" i="4"/>
  <c r="B72" i="7"/>
  <c r="B71" i="7"/>
  <c r="B70" i="7"/>
  <c r="B69" i="7"/>
  <c r="L67" i="7"/>
  <c r="F40" i="4"/>
  <c r="B67" i="7"/>
  <c r="L66" i="7"/>
  <c r="F39" i="4"/>
  <c r="H39" i="4"/>
  <c r="B66" i="7"/>
  <c r="L65" i="7"/>
  <c r="F38" i="4"/>
  <c r="H38" i="4"/>
  <c r="B65" i="7"/>
  <c r="L63" i="7"/>
  <c r="F36" i="4"/>
  <c r="L64" i="7"/>
  <c r="F37" i="4"/>
  <c r="H37" i="4"/>
  <c r="B64" i="7"/>
  <c r="B63" i="7"/>
  <c r="L62" i="7"/>
  <c r="F35" i="4"/>
  <c r="H35" i="4"/>
  <c r="B62" i="7"/>
  <c r="L61" i="7"/>
  <c r="F34" i="4"/>
  <c r="B61" i="7"/>
  <c r="L60" i="7"/>
  <c r="F33" i="4"/>
  <c r="H33" i="4"/>
  <c r="B60" i="7"/>
  <c r="L59" i="7"/>
  <c r="F32" i="4"/>
  <c r="B8" i="2"/>
  <c r="B9" i="2"/>
  <c r="B10" i="2"/>
  <c r="B11" i="2"/>
  <c r="B12" i="2"/>
  <c r="B13" i="2"/>
  <c r="B14" i="2"/>
  <c r="B15" i="2"/>
  <c r="B16" i="2"/>
  <c r="B17" i="2"/>
  <c r="B5" i="7"/>
  <c r="B6" i="7"/>
  <c r="L6" i="7"/>
  <c r="F9" i="4"/>
  <c r="H9" i="4"/>
  <c r="H8" i="4"/>
  <c r="C8" i="2"/>
  <c r="B7" i="7"/>
  <c r="B9" i="7"/>
  <c r="B10" i="7"/>
  <c r="L10" i="7"/>
  <c r="F13" i="4"/>
  <c r="H13" i="4"/>
  <c r="B11" i="7"/>
  <c r="H12" i="7"/>
  <c r="L12" i="7"/>
  <c r="L11" i="7"/>
  <c r="F14" i="4"/>
  <c r="H14" i="4"/>
  <c r="H13" i="7"/>
  <c r="L13" i="7"/>
  <c r="B15" i="7"/>
  <c r="L16" i="7"/>
  <c r="L15" i="7"/>
  <c r="F15" i="4"/>
  <c r="H15" i="4"/>
  <c r="L17" i="7"/>
  <c r="B19" i="7"/>
  <c r="I20" i="7"/>
  <c r="L20" i="7"/>
  <c r="I21" i="7"/>
  <c r="L21" i="7"/>
  <c r="L19" i="7"/>
  <c r="F16" i="4"/>
  <c r="H16" i="4"/>
  <c r="B23" i="7"/>
  <c r="B24" i="7"/>
  <c r="B25" i="7"/>
  <c r="H26" i="7"/>
  <c r="L26" i="7"/>
  <c r="L25" i="7"/>
  <c r="F20" i="4"/>
  <c r="H20" i="4"/>
  <c r="B28" i="7"/>
  <c r="H28" i="7"/>
  <c r="L28" i="7"/>
  <c r="F21" i="4"/>
  <c r="H21" i="4"/>
  <c r="B30" i="7"/>
  <c r="H31" i="7"/>
  <c r="K31" i="7"/>
  <c r="L31" i="7"/>
  <c r="H32" i="7"/>
  <c r="K32" i="7"/>
  <c r="H33" i="7"/>
  <c r="L33" i="7"/>
  <c r="H34" i="7"/>
  <c r="L34" i="7"/>
  <c r="K34" i="7"/>
  <c r="H35" i="7"/>
  <c r="L35" i="7"/>
  <c r="K35" i="7"/>
  <c r="H36" i="7"/>
  <c r="K36" i="7"/>
  <c r="L36" i="7"/>
  <c r="H37" i="7"/>
  <c r="L37" i="7"/>
  <c r="H38" i="7"/>
  <c r="K38" i="7"/>
  <c r="B40" i="7"/>
  <c r="B41" i="7"/>
  <c r="H41" i="7"/>
  <c r="L41" i="7"/>
  <c r="F24" i="4"/>
  <c r="H24" i="4"/>
  <c r="B43" i="7"/>
  <c r="H44" i="7"/>
  <c r="K44" i="7"/>
  <c r="L44" i="7"/>
  <c r="H45" i="7"/>
  <c r="L45" i="7"/>
  <c r="K45" i="7"/>
  <c r="H46" i="7"/>
  <c r="L46" i="7"/>
  <c r="H47" i="7"/>
  <c r="L47" i="7"/>
  <c r="K47" i="7"/>
  <c r="H48" i="7"/>
  <c r="K48" i="7"/>
  <c r="H49" i="7"/>
  <c r="K49" i="7"/>
  <c r="L49" i="7"/>
  <c r="H50" i="7"/>
  <c r="L50" i="7"/>
  <c r="H51" i="7"/>
  <c r="K51" i="7"/>
  <c r="L51" i="7"/>
  <c r="B53" i="7"/>
  <c r="B54" i="7"/>
  <c r="H54" i="7"/>
  <c r="L54" i="7"/>
  <c r="F27" i="4"/>
  <c r="H27" i="4"/>
  <c r="B55" i="7"/>
  <c r="L55" i="7"/>
  <c r="F28" i="4"/>
  <c r="B56" i="7"/>
  <c r="B57" i="7"/>
  <c r="B58" i="7"/>
  <c r="B59" i="7"/>
  <c r="G32" i="4"/>
  <c r="H32" i="4"/>
  <c r="G69" i="4"/>
  <c r="G74" i="4"/>
  <c r="G89" i="4"/>
  <c r="G113" i="4"/>
  <c r="G115" i="4"/>
  <c r="G117" i="4"/>
  <c r="L32" i="7"/>
  <c r="H143" i="7"/>
  <c r="L143" i="7"/>
  <c r="F91" i="4"/>
  <c r="H91" i="4"/>
  <c r="K142" i="7"/>
  <c r="L142" i="7"/>
  <c r="F90" i="4"/>
  <c r="H90" i="4"/>
  <c r="H74" i="4"/>
  <c r="F26" i="15"/>
  <c r="G65" i="4"/>
  <c r="F21" i="19"/>
  <c r="F52" i="19"/>
  <c r="G81" i="4"/>
  <c r="E8" i="2"/>
  <c r="E13" i="2"/>
  <c r="G13" i="2"/>
  <c r="F56" i="13"/>
  <c r="G46" i="4"/>
  <c r="H46" i="4"/>
  <c r="H42" i="4"/>
  <c r="C11" i="2"/>
  <c r="H12" i="4"/>
  <c r="C9" i="2"/>
  <c r="H65" i="4"/>
  <c r="L48" i="7"/>
  <c r="H94" i="4"/>
  <c r="H84" i="4"/>
  <c r="C15" i="2"/>
  <c r="H66" i="4"/>
  <c r="H67" i="4"/>
  <c r="H82" i="4"/>
  <c r="H80" i="4"/>
  <c r="C14" i="2"/>
  <c r="F40" i="12"/>
  <c r="F20" i="13"/>
  <c r="F21" i="13"/>
  <c r="F28" i="21"/>
  <c r="G95" i="4"/>
  <c r="H95" i="4"/>
  <c r="G28" i="4"/>
  <c r="H28" i="4"/>
  <c r="G82" i="4"/>
  <c r="L43" i="7"/>
  <c r="F25" i="4"/>
  <c r="H25" i="4"/>
  <c r="L38" i="7"/>
  <c r="L30" i="7"/>
  <c r="F22" i="4"/>
  <c r="H22" i="4"/>
  <c r="L83" i="7"/>
  <c r="F55" i="4"/>
  <c r="H55" i="4"/>
  <c r="H51" i="4"/>
  <c r="C12" i="2"/>
  <c r="L100" i="7"/>
  <c r="L94" i="7"/>
  <c r="F56" i="4"/>
  <c r="H56" i="4"/>
  <c r="H64" i="4"/>
  <c r="H69" i="4"/>
  <c r="H89" i="4"/>
  <c r="H99" i="4"/>
  <c r="H98" i="4"/>
  <c r="C16" i="2"/>
  <c r="H107" i="4"/>
  <c r="F58" i="12"/>
  <c r="G40" i="4"/>
  <c r="H40" i="4"/>
  <c r="F18" i="23"/>
  <c r="G104" i="4"/>
  <c r="H104" i="4"/>
  <c r="E15" i="2"/>
  <c r="G15" i="2"/>
  <c r="H18" i="4"/>
  <c r="C10" i="2"/>
  <c r="E12" i="2"/>
  <c r="G11" i="2"/>
  <c r="E11" i="2"/>
  <c r="G14" i="2"/>
  <c r="E16" i="2"/>
  <c r="G16" i="2"/>
  <c r="E9" i="2"/>
  <c r="C17" i="2"/>
  <c r="G17" i="2"/>
  <c r="E17" i="2"/>
  <c r="G18" i="2"/>
  <c r="H122" i="4"/>
  <c r="E10" i="2"/>
  <c r="C18" i="2"/>
  <c r="H16" i="2"/>
  <c r="F12" i="2"/>
  <c r="H8" i="2"/>
  <c r="H12" i="2"/>
  <c r="H10" i="2"/>
  <c r="D13" i="2"/>
  <c r="D8" i="2"/>
  <c r="H13" i="2"/>
  <c r="D15" i="2"/>
  <c r="D12" i="2"/>
  <c r="D14" i="2"/>
  <c r="D16" i="2"/>
  <c r="F8" i="2"/>
  <c r="D11" i="2"/>
  <c r="F13" i="2"/>
  <c r="D9" i="2"/>
  <c r="D17" i="2"/>
  <c r="H15" i="2"/>
  <c r="H11" i="2"/>
  <c r="F11" i="2"/>
  <c r="H14" i="2"/>
  <c r="F17" i="2"/>
  <c r="F16" i="2"/>
  <c r="D10" i="2"/>
  <c r="F15" i="2"/>
  <c r="F9" i="2"/>
  <c r="F10" i="2"/>
  <c r="E18" i="2"/>
  <c r="E19" i="2"/>
  <c r="G19" i="2"/>
  <c r="H17" i="2"/>
  <c r="F18" i="2"/>
  <c r="F19" i="2"/>
  <c r="D18" i="2"/>
  <c r="H18" i="2"/>
  <c r="H19" i="2"/>
</calcChain>
</file>

<file path=xl/sharedStrings.xml><?xml version="1.0" encoding="utf-8"?>
<sst xmlns="http://schemas.openxmlformats.org/spreadsheetml/2006/main" count="2781" uniqueCount="790">
  <si>
    <t>9.2</t>
  </si>
  <si>
    <t>9.4</t>
  </si>
  <si>
    <t>10.1</t>
  </si>
  <si>
    <t>Codigo</t>
  </si>
  <si>
    <t>Item</t>
  </si>
  <si>
    <t>Descrição dos serviços</t>
  </si>
  <si>
    <t>Unid</t>
  </si>
  <si>
    <t>Quant</t>
  </si>
  <si>
    <t>Preço Unitario</t>
  </si>
  <si>
    <t>Preço   Total</t>
  </si>
  <si>
    <t xml:space="preserve"> </t>
  </si>
  <si>
    <t>Valor</t>
  </si>
  <si>
    <t>%</t>
  </si>
  <si>
    <t>CRONOGRAMA FISICO FINACEIRO</t>
  </si>
  <si>
    <t>9.3</t>
  </si>
  <si>
    <t>1.1</t>
  </si>
  <si>
    <t>2.1</t>
  </si>
  <si>
    <t>3.1</t>
  </si>
  <si>
    <t>3.2</t>
  </si>
  <si>
    <t>3.3</t>
  </si>
  <si>
    <t>2.2</t>
  </si>
  <si>
    <t>4.1</t>
  </si>
  <si>
    <t>4.2</t>
  </si>
  <si>
    <t>7.1</t>
  </si>
  <si>
    <t>8.1</t>
  </si>
  <si>
    <t>9.1</t>
  </si>
  <si>
    <t>1.2</t>
  </si>
  <si>
    <t>M</t>
  </si>
  <si>
    <t>KG</t>
  </si>
  <si>
    <t>M3</t>
  </si>
  <si>
    <t>M2</t>
  </si>
  <si>
    <t>10.4</t>
  </si>
  <si>
    <t>10.6</t>
  </si>
  <si>
    <t>10.7</t>
  </si>
  <si>
    <t>10.8</t>
  </si>
  <si>
    <t>10.9</t>
  </si>
  <si>
    <t>10.10</t>
  </si>
  <si>
    <t>10.13</t>
  </si>
  <si>
    <t>UND</t>
  </si>
  <si>
    <t>TOTAL ACUMULADO</t>
  </si>
  <si>
    <t>SERVIÇOS</t>
  </si>
  <si>
    <t>ITENS</t>
  </si>
  <si>
    <t>TOTAL GERAL DA OBRA</t>
  </si>
  <si>
    <t>TOTAL/TOTAL PARCIAL</t>
  </si>
  <si>
    <t>Planilha Orçamentária</t>
  </si>
  <si>
    <t>9.5</t>
  </si>
  <si>
    <t>OUTUBRO</t>
  </si>
  <si>
    <t>NOVEMBRO</t>
  </si>
  <si>
    <t>CANTEIRO DE OBRAS</t>
  </si>
  <si>
    <t>ELEVATÓRIA ÁGUA BRUTA (CASA DE BOMBAS)</t>
  </si>
  <si>
    <t>CAIXA P/ PROTEÇÃO DESCARGAS PADRÃO PRÓ-RURAL Nº 97</t>
  </si>
  <si>
    <t>INSTALAÇÕES ELÉTRICAS DA ESTAÇÃO ELEVATÓRIA DE AGUA - TRIFASICA-220V</t>
  </si>
  <si>
    <t>FORNECIMENTO E ASSENTAMENTO DE MATERIAIS PARA BARRILETE 2"</t>
  </si>
  <si>
    <t>FORNECIMENTO E ASSENTAMENTO DE MATERIAIS PARA ELEVATÓRIA AGUA BRUTA (CASA DE BOMBAS)</t>
  </si>
  <si>
    <t>INSTALAÇÕES ELÉTRICAS PARA LIGAÇÃO DE CONJUNTO MOTOBOMBA POTÊNCIA 3,5 CV</t>
  </si>
  <si>
    <t>Mês ref.02/ 2018</t>
  </si>
  <si>
    <t>FORNECIMENTO E ASSENTAMENTO DE MATERIAIS PARA ETA</t>
  </si>
  <si>
    <t xml:space="preserve">FORNECIMENTO, PREPARO, TRANSPORTE, LANCAMENTO E ACABAMENTO DE CONCRETO COM RESISTENCIA DE COMPRESSAO FCK =  150 KG/CM2, VIRADO EM OBRA COM BETONEIRA         </t>
  </si>
  <si>
    <t>ESTAÇÃO DE TRATAMENTO DE ÁGUA</t>
  </si>
  <si>
    <t>2.3</t>
  </si>
  <si>
    <t>2.4</t>
  </si>
  <si>
    <t>CASA DE QUÍMICA</t>
  </si>
  <si>
    <t>PISO CIMENTADO E=2,0CM SOB/ LASTRO 8,0CM</t>
  </si>
  <si>
    <t>BANCADA EM GRANITO</t>
  </si>
  <si>
    <t>MATERIAL ELÉTRICO PARA CASA DE QUÍMICA</t>
  </si>
  <si>
    <t>INSTALAÇÕES HIDRO-SANITÁRIAS PARA CASA DE QUÍMICA</t>
  </si>
  <si>
    <t>MATERIAIS E EQUIPAMENTOS PARA DOSAGEM DOS PRODUTOS QUÍMICOS</t>
  </si>
  <si>
    <t>MATERIAIS E EQUIPAMENTOS DE LABORATÓRIO</t>
  </si>
  <si>
    <t>3.7</t>
  </si>
  <si>
    <t>3.12</t>
  </si>
  <si>
    <t>3.13</t>
  </si>
  <si>
    <t>3.14</t>
  </si>
  <si>
    <t>3.17</t>
  </si>
  <si>
    <t>3.18</t>
  </si>
  <si>
    <t>3.19</t>
  </si>
  <si>
    <t>3.20</t>
  </si>
  <si>
    <t>3.21</t>
  </si>
  <si>
    <t>3.22</t>
  </si>
  <si>
    <t>FLOCULADOR/DECANTADOR</t>
  </si>
  <si>
    <t>IMPERM SIKA 101 OU SIMILAR TRES DEMAOS</t>
  </si>
  <si>
    <t>FORN/ASSENT MATERIAIS PARA FLOC/DECANTADOR 3L/S</t>
  </si>
  <si>
    <t>FILTRO RÁPIDO 3L/S</t>
  </si>
  <si>
    <t>FORNECIMENTO E ASSENTAMENTO DE FILTRO 3 L/S EM FIBRA DE VIDRO PADRÃO PRÓ-RURAL N.º 05/2000</t>
  </si>
  <si>
    <t>4.3</t>
  </si>
  <si>
    <t>4.5</t>
  </si>
  <si>
    <t>4.6</t>
  </si>
  <si>
    <t>4.7</t>
  </si>
  <si>
    <t>ELEVATÓRIA DE ÁGUA TRATADA</t>
  </si>
  <si>
    <t>FORNECIMENTO MONTAGEM E ASSENTAMENTO DE BARRILETE EM PVC 1 1/4" PARA COMPARTIMENTO DE BOMBAS, INCLUSIVE CONJUNTOS MOTO-BOMBA MONOFÁSICOS, POTÊNCIA = 3/4 CV, SUCÇÃO E RECALQUE.</t>
  </si>
  <si>
    <t>6.4</t>
  </si>
  <si>
    <t>6.5</t>
  </si>
  <si>
    <t>RESERVATÓRIOS</t>
  </si>
  <si>
    <t>FORNECIMENTO E ASSENTAMENTO DE RESERVATÓRIO CIRCULAR, EM FIBRA DE VIDRO, REFORÇADO, COM CAPACIDADE DE 20M3, INCLUSIVE TRANSPORTE ATÉ A OBRA.</t>
  </si>
  <si>
    <t>FORNECIMENTO E ASSENTAMENTO DE MATERIAIS PARA RESERVATÓRIOS</t>
  </si>
  <si>
    <t>FORNECIMENTO E ASSENTAMENTO DE RESERVATÓRIO CIRCULAR, EM FIBRA DE VIDRO, REFORÇADO, COM CAPACIDADE DE 10M3, INCLUSIVE TRANSPORTE ATÉ A OBRA.</t>
  </si>
  <si>
    <t>7.2</t>
  </si>
  <si>
    <t>REDE DE DISTRIBUIÇÃO</t>
  </si>
  <si>
    <t>8.3</t>
  </si>
  <si>
    <t>8.4</t>
  </si>
  <si>
    <t>8.10</t>
  </si>
  <si>
    <t>SINALIZACAO NOTURNA COM ENERGIA ELETRICA</t>
  </si>
  <si>
    <t>REGULARIZACAO DO FUNDO VALA</t>
  </si>
  <si>
    <t>REATERRO COM APILOAMENTO MANUAL</t>
  </si>
  <si>
    <t>REATERRO COM COMPACTACAO MECANICA</t>
  </si>
  <si>
    <t>ASSENTAMENTO TUBO PVC PBA DN 50</t>
  </si>
  <si>
    <t>ASSENTAMENTO TUBO PVC SOLDA D 40</t>
  </si>
  <si>
    <t>FORNECIMENTO E ASSENTAMENTO DE MATERIAIS PARA REDE DE DISTRIBUIÇÃO</t>
  </si>
  <si>
    <t>FORNECIMENTO E EXECUÇÃO DE VRP</t>
  </si>
  <si>
    <t>FORNECIMENTO E EXECUÇÃO DE VENTOSA</t>
  </si>
  <si>
    <t>CAPTAÇÃO - PRÉ FILTRO/POÇO SUCÇÃO</t>
  </si>
  <si>
    <t>ENROCAMENTO COM PEDRA DE MAO</t>
  </si>
  <si>
    <t>CONTAINER ESCRITORIO DE 6,0X2,4M C/ BANH</t>
  </si>
  <si>
    <t>UNM</t>
  </si>
  <si>
    <t>CONTAINER DEPOSITO MAT 6,0X2,4M S/ BANH</t>
  </si>
  <si>
    <t>FORMA CURVA MADEIRA - PILAR/VIGA/PAREDE</t>
  </si>
  <si>
    <t>ARMADURA CA-50</t>
  </si>
  <si>
    <t xml:space="preserve">CONCRETO FCK 150 KG/CM2, VIRADO NA OBRA    </t>
  </si>
  <si>
    <t>5.10</t>
  </si>
  <si>
    <t>5.18</t>
  </si>
  <si>
    <t xml:space="preserve">UN </t>
  </si>
  <si>
    <t>UN</t>
  </si>
  <si>
    <t>COMP 8</t>
  </si>
  <si>
    <t>COMP 9</t>
  </si>
  <si>
    <t>GRAMA ESMERALDA PLACAS, TERRA VEG. 2,0CM</t>
  </si>
  <si>
    <t>Obra:</t>
  </si>
  <si>
    <t>ESCAVACAO MECAN SOLO 1ªCAT PROF ATE 3M</t>
  </si>
  <si>
    <t>SISTEMA DE ABASTECIMENTO DE ÁGUA DE VILA NOVA DO CARAVAGGIO, PRAÇA OITO E VILA BERGER - ITARANA - ES</t>
  </si>
  <si>
    <t>CERCA C/ 6 FIOS ARAME FARPADO/MOURAO MAD</t>
  </si>
  <si>
    <t>CARGA E DESCARGA QQ TIPO SOLO(BOTA FORA)</t>
  </si>
  <si>
    <t xml:space="preserve">PINT ESMALTE SINT PAREDE/TETO 2 DEMAOS </t>
  </si>
  <si>
    <t xml:space="preserve">CUBA ACO INOX DE EMBUTIR </t>
  </si>
  <si>
    <t xml:space="preserve">PORTA MADEIRA PRANCHETA, COMPLETA </t>
  </si>
  <si>
    <t>PINTURA PVA LATEX PAREDE/TETO 2 DEMAOS</t>
  </si>
  <si>
    <t>PINTURA ESMALTE SINTET TUBUL 2 DEMAOS</t>
  </si>
  <si>
    <t>PINTURA ESMALTE SINTET MADEIRA 2 DEMAOS</t>
  </si>
  <si>
    <t>PINTURA ACRILICA PAREDE/TETO 2 DEMAOS</t>
  </si>
  <si>
    <t xml:space="preserve">ESCAVACAO MECAN SOLO 1ªCAT PROF ATE 3M       </t>
  </si>
  <si>
    <t xml:space="preserve">PINTURA ACRILICA PAREDE/TETO 2 DEMAOS </t>
  </si>
  <si>
    <t>IOPES</t>
  </si>
  <si>
    <t>POSTE DT PADRAO TRIFASICO 16MM AEREO 63A H=7M/100DAN</t>
  </si>
  <si>
    <t>PV-ANEL CONCR DN 600 PROF ATE 1,25M</t>
  </si>
  <si>
    <t>ESTRUTURA EM MADEIRA DE LEI</t>
  </si>
  <si>
    <t xml:space="preserve">RODAPE EM CERAMICA </t>
  </si>
  <si>
    <t>TUBO PVC PBA JEI, CLASSE 12, DN 50 MM, PARA REDE DE AGUA (NBR 5647)</t>
  </si>
  <si>
    <t>PORTA MADEIRA PRANCHETA, COMPLETA</t>
  </si>
  <si>
    <t>PORTÃO DE FERRO DE ABRIR EM BARRA CHATA, CHAPA E TUBO, INCLUSIVE CHUMBAMENTO</t>
  </si>
  <si>
    <t>FOSSA SÉPTICA DE ANÉIS PRÉ-MOLDADOS DE CONCRETO, DIÂMETRO 2.00 M, HÚTIL 2.0M COMPLETA, INCLUINDO TAMPA C/VISITA DE 60CM, CONCRETO P/ FUNDO ESP.10 CM, TUBO DE LIMPEZA E ESCAVAÇÃO, CONF. DETALHE EM PROJETO</t>
  </si>
  <si>
    <t xml:space="preserve">PONTO DE VÁLVULA DE DESCARGA, INCLUSIVE VÁLVULA DE DESCARGA DE 50MM (1 1/2"), COM ACABAMENTO PARA VÁLVULA DE DESCARGA BENEFIT, MARCA DE REFERÊNCIA DOCOL OU EQUIVALENTE </t>
  </si>
  <si>
    <t>BACIA SANITÁRIA DE LOUÇA BRANCA, COM CAIXA ACOPLADA DUPLO ACIONAMENTO, MARCA DE REF. DECA LINHA RAVENA OU EQUIVALENTE, INCLUSIVE ASSENTO PLÁSTICO E ACESSÓRIOS DE FIXAÇÃO</t>
  </si>
  <si>
    <t xml:space="preserve">MONT E ASSENT CJ MOTOBOMBA POT ATE 10CV </t>
  </si>
  <si>
    <t>SUMIDOURO PRE-MOLDADO CAP 10 PESSOAS</t>
  </si>
  <si>
    <t>COMP  1</t>
  </si>
  <si>
    <t>COMP 2</t>
  </si>
  <si>
    <t>COMP 3</t>
  </si>
  <si>
    <t xml:space="preserve">COMP 5 </t>
  </si>
  <si>
    <t xml:space="preserve">COMP 4 </t>
  </si>
  <si>
    <t>COMP 1</t>
  </si>
  <si>
    <t>76447/001</t>
  </si>
  <si>
    <t>COTAÇÃO</t>
  </si>
  <si>
    <t>PISO CIMENTADO TRACO 1:3 (CIMENTO E AREIA) ACABAMENTO LISO ESPESSURA 2 CM, PREPARO MECANICO DA ARGAMASSA</t>
  </si>
  <si>
    <t>COMP 7</t>
  </si>
  <si>
    <t>COMP 10</t>
  </si>
  <si>
    <t>COMP 6</t>
  </si>
  <si>
    <t>COMP 11</t>
  </si>
  <si>
    <t>COMP 12</t>
  </si>
  <si>
    <t>COMP 13</t>
  </si>
  <si>
    <t>COMP 14</t>
  </si>
  <si>
    <t xml:space="preserve">COMP 1 </t>
  </si>
  <si>
    <t>COMP 19</t>
  </si>
  <si>
    <t>COMP 20</t>
  </si>
  <si>
    <t>COMP 16</t>
  </si>
  <si>
    <t>COMP 17</t>
  </si>
  <si>
    <t>COMP 18</t>
  </si>
  <si>
    <t>8.2</t>
  </si>
  <si>
    <t>8.5</t>
  </si>
  <si>
    <t>8.6</t>
  </si>
  <si>
    <t>8.11</t>
  </si>
  <si>
    <t>8.12</t>
  </si>
  <si>
    <t>COMP 15</t>
  </si>
  <si>
    <t>5.12</t>
  </si>
  <si>
    <t>5.13</t>
  </si>
  <si>
    <t>SISTEMA DE ABASTECIMENTO DE ÁGUA DE VILA NOVA DO CARAVAGGIO, PRAÇA OITO E VILA BERGER</t>
  </si>
  <si>
    <t>ITARANA - ES</t>
  </si>
  <si>
    <t>LOCAL:</t>
  </si>
  <si>
    <t>EMASSAMENTO PAREDE MASSA ACRÍLICA</t>
  </si>
  <si>
    <t xml:space="preserve">TELA PASSARINHEIRA UNIVERSAL </t>
  </si>
  <si>
    <t>TELA MOSQUITEIRO EM NYLON MALHA 14 ABERTURA 1,5MM</t>
  </si>
  <si>
    <t>LIMPEZA MANUAL DE CAIXA</t>
  </si>
  <si>
    <t>JANELA ALUMÍNIO ABRIR/CORRER, COMPL</t>
  </si>
  <si>
    <t>TUBO PVC, SOLDAVEL, DN 40 MM, AGUA FRIA (NBR-5648)   9,26</t>
  </si>
  <si>
    <t xml:space="preserve">EMASSAMENTO PAREDE MASSA ACRÍLICA - EXTERNO </t>
  </si>
  <si>
    <t>FORRO EM REGUAS DE PVC</t>
  </si>
  <si>
    <t>3.4</t>
  </si>
  <si>
    <t>3.5</t>
  </si>
  <si>
    <t>3.6</t>
  </si>
  <si>
    <t>3.8</t>
  </si>
  <si>
    <t>3.9</t>
  </si>
  <si>
    <t>3.10</t>
  </si>
  <si>
    <t>3.11</t>
  </si>
  <si>
    <t>3.15</t>
  </si>
  <si>
    <t>3.16</t>
  </si>
  <si>
    <t>4.4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</si>
  <si>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</si>
  <si>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</si>
  <si>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</si>
  <si>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</si>
  <si>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</si>
  <si>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</si>
  <si>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</si>
  <si>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</si>
  <si>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</si>
  <si>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5.11</t>
  </si>
  <si>
    <t>5.14</t>
  </si>
  <si>
    <t>5.15</t>
  </si>
  <si>
    <t>5.16</t>
  </si>
  <si>
    <t>5.17</t>
  </si>
  <si>
    <t>6.1</t>
  </si>
  <si>
    <t>6.2</t>
  </si>
  <si>
    <t>6.3</t>
  </si>
  <si>
    <t>6.6</t>
  </si>
  <si>
    <t>8.7</t>
  </si>
  <si>
    <t>8.8</t>
  </si>
  <si>
    <t>8.9</t>
  </si>
  <si>
    <t>9.6</t>
  </si>
  <si>
    <t>9.7</t>
  </si>
  <si>
    <t>10.2</t>
  </si>
  <si>
    <t>10.3</t>
  </si>
  <si>
    <t>10.5</t>
  </si>
  <si>
    <t>10.11</t>
  </si>
  <si>
    <t>10.12</t>
  </si>
  <si>
    <t xml:space="preserve">OBRA: </t>
  </si>
  <si>
    <t>PLANILHA QUANTITATIVA</t>
  </si>
  <si>
    <t>Descrição</t>
  </si>
  <si>
    <t>Und</t>
  </si>
  <si>
    <t>Quant.</t>
  </si>
  <si>
    <t>Comprim.</t>
  </si>
  <si>
    <t>Largura</t>
  </si>
  <si>
    <t>Altura</t>
  </si>
  <si>
    <t>Área</t>
  </si>
  <si>
    <t>Volume</t>
  </si>
  <si>
    <t>Coeficiente</t>
  </si>
  <si>
    <t>Total</t>
  </si>
  <si>
    <t>1.0</t>
  </si>
  <si>
    <r>
      <t>Serviço:</t>
    </r>
    <r>
      <rPr>
        <sz val="10"/>
        <color indexed="8"/>
        <rFont val="Century Gothic"/>
        <family val="2"/>
      </rPr>
      <t xml:space="preserve"> Sistema de abastecimento de água de Vila Nova do Caravággio, Praça Oito e Vila Berger</t>
    </r>
  </si>
  <si>
    <r>
      <t>Local:</t>
    </r>
    <r>
      <rPr>
        <sz val="10"/>
        <color indexed="8"/>
        <rFont val="Century Gothic"/>
        <family val="2"/>
      </rPr>
      <t xml:space="preserve"> Itarana-ES</t>
    </r>
  </si>
  <si>
    <r>
      <t>Contratante:</t>
    </r>
    <r>
      <rPr>
        <sz val="10"/>
        <color indexed="8"/>
        <rFont val="Century Gothic"/>
        <family val="2"/>
      </rPr>
      <t xml:space="preserve"> Prefeitura Municipal de Itarana</t>
    </r>
  </si>
  <si>
    <t>-</t>
  </si>
  <si>
    <t>2.0</t>
  </si>
  <si>
    <t>m³</t>
  </si>
  <si>
    <t>m²</t>
  </si>
  <si>
    <t>Sapatas - Conforme Projeto (Detalhe - Prancha 1/23)</t>
  </si>
  <si>
    <t>Pilares - Conforme Projeto (Detalhe - Prancha 1/23)</t>
  </si>
  <si>
    <t>kg</t>
  </si>
  <si>
    <t>3.0</t>
  </si>
  <si>
    <r>
      <t>Sapatas - Conforme Projeto (Detalhe - Prancha 1/23) 4N6</t>
    </r>
    <r>
      <rPr>
        <sz val="8"/>
        <rFont val="Calibri"/>
        <family val="2"/>
      </rPr>
      <t>Ø</t>
    </r>
    <r>
      <rPr>
        <i/>
        <sz val="8"/>
        <rFont val="Arial"/>
        <family val="2"/>
      </rPr>
      <t>6.3 C=52</t>
    </r>
  </si>
  <si>
    <r>
      <t>Pilares - Conforme Projeto (Detalhe - Prancha 1/23) 4N7</t>
    </r>
    <r>
      <rPr>
        <sz val="8"/>
        <rFont val="Calibri"/>
        <family val="2"/>
      </rPr>
      <t>Ø</t>
    </r>
    <r>
      <rPr>
        <i/>
        <sz val="8"/>
        <rFont val="Arial"/>
        <family val="2"/>
      </rPr>
      <t>8.0 C=136</t>
    </r>
  </si>
  <si>
    <t>Conforme Projeto - Planta Baixa Casa de Máquinas (Prancha 1/23)</t>
  </si>
  <si>
    <t>Descontos</t>
  </si>
  <si>
    <t>Conforme Projeto - Casa de Máquinas (Paredes Externas - Frontal)</t>
  </si>
  <si>
    <t>Conforme Projeto - Casa de Máquinas (Paredes Internas - Frontal)</t>
  </si>
  <si>
    <t>Conforme Projeto - Casa de Máquinas (Paredes Internas - Lateral Esquerda)</t>
  </si>
  <si>
    <t>Conforme Projeto - Casa de Máquinas (Paredes Internas - Fundos)</t>
  </si>
  <si>
    <t>Conforme Projeto - Casa de Máquinas (Paredes Internas - Lateral Direita)</t>
  </si>
  <si>
    <t>Conforme Projeto - Casa de Máquinas (Paredes Externas - Lateral Esquerda)</t>
  </si>
  <si>
    <t>Conforme Projeto - Casa de Máquinas (Paredes Externas - Fundos)</t>
  </si>
  <si>
    <t>Conforme Projeto - Casa de Máquinas (Paredes Externas - Lateral Direita)</t>
  </si>
  <si>
    <t>Obs.: O item acima (3.8) faz referência a pintura da estrutura de Madeira do Telhado.</t>
  </si>
  <si>
    <t>und</t>
  </si>
  <si>
    <t>m</t>
  </si>
  <si>
    <t>4.0</t>
  </si>
  <si>
    <t>5.0</t>
  </si>
  <si>
    <t>Conforme Projeto - Casa de Química (Paredes Internas - Frontal)</t>
  </si>
  <si>
    <t>Conforme Projeto - Casa de Química (Paredes Internas - Lateral Esquerda)</t>
  </si>
  <si>
    <t>Conforme Projeto - Casa de Química (Paredes Internas - Fundos)</t>
  </si>
  <si>
    <t>Conforme Projeto - Casa de Química (Paredes Internas - Lateral Direita)</t>
  </si>
  <si>
    <t>Conforme Projeto - Casa de Química (Paredes Externas - Frontal)</t>
  </si>
  <si>
    <t>Conforme Projeto - Casa de Química (Paredes Externas - Lateral Esquerda)</t>
  </si>
  <si>
    <t>Conforme Projeto - Casa de Química (Paredes Externas - Fundos)</t>
  </si>
  <si>
    <t>Conforme Projeto - Casa de Química (Paredes Externas - Lateral Direita)</t>
  </si>
  <si>
    <t>Conforme Projeto - BH Casa de Qúimica (Paredes Internas)</t>
  </si>
  <si>
    <t>6.0</t>
  </si>
  <si>
    <t>Banheiro</t>
  </si>
  <si>
    <t>Casa de Química</t>
  </si>
  <si>
    <t>7.0</t>
  </si>
  <si>
    <t>8.0</t>
  </si>
  <si>
    <t>9.0</t>
  </si>
  <si>
    <t>10.0</t>
  </si>
  <si>
    <t>Ref.</t>
  </si>
  <si>
    <t>Fonte</t>
  </si>
  <si>
    <t>CESAN</t>
  </si>
  <si>
    <t>SINAPI</t>
  </si>
  <si>
    <t>ESCADA EM CONCRETO ARMADO, FCK = 15 MPA, MOLDADA IN LOCO</t>
  </si>
  <si>
    <t>0,40/0,80</t>
  </si>
  <si>
    <t>Conforme Projeto</t>
  </si>
  <si>
    <t>VAR</t>
  </si>
  <si>
    <t>MÁX - 4,64</t>
  </si>
  <si>
    <t>Pode haver glosa no momento da medição devido a impossibilidade de levantamento das reais condições e/ou existência da atual condição das bases dos Reservatórios.</t>
  </si>
  <si>
    <r>
      <t xml:space="preserve">Obs.: O item acima foi mensurado conforme Projeto Executivo (Prancha 13/23) considerando diâmetro da base 4,50m com 3 cm de cobrimento e descontado aproximadamente 30% por se tratar de uma base circular. </t>
    </r>
    <r>
      <rPr>
        <b/>
        <i/>
        <sz val="8"/>
        <rFont val="Arial"/>
        <family val="2"/>
      </rPr>
      <t>Pode haver glosa no momento da medição devido a impossibilidade de levantamento das reais condições e/ou existência da atual condição das bases dos Reservatórios.</t>
    </r>
  </si>
  <si>
    <t>Tubo rígido rosqueável</t>
  </si>
  <si>
    <t>Tubo rígido soldavel</t>
  </si>
  <si>
    <t>Ref.:</t>
  </si>
  <si>
    <t>6.7</t>
  </si>
  <si>
    <t>RECOMPOSIÇÃO DE CONCRETO DANIFICADO, COM UTILIZAÇÃO DE ARGAMASSA SIKA GROUT OU EQUIVALENTE (CONSIDERANDO ESP. DE 5CM)</t>
  </si>
  <si>
    <t>CAIXA PARA PROTEÇÃO DE DESCARGAS</t>
  </si>
  <si>
    <t>COMP 1 :</t>
  </si>
  <si>
    <t>CONSTRUÇÃO DE CAIXA PARA PROTEÇÃO DAS DESCARGAS, INCLUSIVE FORNECIMENTO DE MATERIAIS CONFORME PADRÃO PRÓ-RURAL Nº 97</t>
  </si>
  <si>
    <t>CÓDIGO</t>
  </si>
  <si>
    <t>DESCRIÇÃO COMPLETA</t>
  </si>
  <si>
    <t>UNID.</t>
  </si>
  <si>
    <t>QUANT.</t>
  </si>
  <si>
    <t>VALOR</t>
  </si>
  <si>
    <t>TOTAL</t>
  </si>
  <si>
    <t xml:space="preserve">ESCAVACAO MECANICA EM QUALQUER TIPO DE SOLO QUE SEJAM DE 1ª CATEGORIA, COM PROFUNDIDADE ATE 3 METROS </t>
  </si>
  <si>
    <t xml:space="preserve">ARMADURA CA-50 </t>
  </si>
  <si>
    <t>Kg</t>
  </si>
  <si>
    <t>7070100230</t>
  </si>
  <si>
    <t>7090100080</t>
  </si>
  <si>
    <t>ALVENARIA BLOCO CONCRETO E=9CM APARENTE</t>
  </si>
  <si>
    <t>7100100130</t>
  </si>
  <si>
    <t>REBOCO COMUM ARGAMASSA CIMENTO/AREIA 1:3</t>
  </si>
  <si>
    <t>7100100170</t>
  </si>
  <si>
    <t>CHAPISCO INT/EXT ARGAM CIMENTO/AREIA 1:3</t>
  </si>
  <si>
    <t>7100100390</t>
  </si>
  <si>
    <t>PINT ANTICORROSIVA ZARCAO 2 DEMAOS</t>
  </si>
  <si>
    <t>INSTALAÇÃO ELÉTRICA DA ELEVATÓRIA  - TRIFÁSICA</t>
  </si>
  <si>
    <t>COMP 2:</t>
  </si>
  <si>
    <t>FORNECIMENTO E EXECUÇÃO DE INSTALAÇÃO ELÉTRICA DA E.E.A. - TRIFÁSICA (220V) PADRÃO PRÓ-RURAL - SEM PADRÃO DE ENTRADA E SEM CHAVES.</t>
  </si>
  <si>
    <t>Bucha de Nylon Ref. Nº 6</t>
  </si>
  <si>
    <t>Fio de Cobre 750V-70V 2,5mm</t>
  </si>
  <si>
    <t>Fio de Cobre 750V-70V 4mm</t>
  </si>
  <si>
    <t>Fita Isolante 20metros</t>
  </si>
  <si>
    <t>PÇ</t>
  </si>
  <si>
    <t>Cabo cobre tempera mole 750V - 70C 6mm2</t>
  </si>
  <si>
    <t>00002512</t>
  </si>
  <si>
    <t xml:space="preserve">Braço para Luminária </t>
  </si>
  <si>
    <t>Braçadeira tipo copo ¾”</t>
  </si>
  <si>
    <t>Eletroduto PVC rígido roscável ¾”</t>
  </si>
  <si>
    <t>Luva PVC rígido eletroduto ¾”</t>
  </si>
  <si>
    <t>Curva 90 PVC rígido eletroduto ¾”</t>
  </si>
  <si>
    <t>Eletroduto PVC flexível 25mm</t>
  </si>
  <si>
    <t>Condulete C PVC com interruptor</t>
  </si>
  <si>
    <t>Condulete T - 3/4”</t>
  </si>
  <si>
    <t>Conector sindal para fio 4mm2</t>
  </si>
  <si>
    <t>Lâmpada incandescente 100 W 127V</t>
  </si>
  <si>
    <t>00003798</t>
  </si>
  <si>
    <t>Luminária 12 “</t>
  </si>
  <si>
    <t xml:space="preserve">010101 </t>
  </si>
  <si>
    <t xml:space="preserve">Ajudante </t>
  </si>
  <si>
    <t>H</t>
  </si>
  <si>
    <t>010115</t>
  </si>
  <si>
    <t>Eletricista</t>
  </si>
  <si>
    <t>BARRILETE 2"</t>
  </si>
  <si>
    <t>COMP 3 :</t>
  </si>
  <si>
    <t>FORNECIMENTO E EXECUÇÃO DE INSTALAÇÕES HIDRÁULICAS DO BARRILETE 2" EM FG, PADRÃO PRÓ-RURAL Nº 18A</t>
  </si>
  <si>
    <t>00001845</t>
  </si>
  <si>
    <t>CURVA PVC PBA, JE, PB, 90 GRAUS, DN 50 / DE 60 MM, PARA REDE AGUA (NBR 10351)</t>
  </si>
  <si>
    <t>00001824</t>
  </si>
  <si>
    <t>CURVA PVC PBA, JE, PB, 90 GRAUS, DN 75 / DE 85 MM, PARA REDE AGUA (NBR 10351)</t>
  </si>
  <si>
    <t>00003068</t>
  </si>
  <si>
    <t>EXTREMIDADE PVC PBA, BF, JE, DN 50 / DE 60 MM (NBR 10351)</t>
  </si>
  <si>
    <t>00003074</t>
  </si>
  <si>
    <t>EXTREMIDADE PVC PBA, BF, JE, DN 75/ DE 85 MM (NBR 10351)</t>
  </si>
  <si>
    <t>00012863</t>
  </si>
  <si>
    <t>ADAPTADOR, PVC PBA, A BOLSA DEFOFO, JE, DN 50 / DE 60 MM</t>
  </si>
  <si>
    <t>00000050</t>
  </si>
  <si>
    <t>ADAPTADOR, PVC PBA, A BOLSA DEFOFO, JE, DN 75 / DE 85 MM</t>
  </si>
  <si>
    <t>00001419</t>
  </si>
  <si>
    <t>COLAR TOMADA PVC, COM TRAVAS, SAIDA COM ROSCA, DE 50 MM X 1/2" OU 50 MM X 3/4", PARA LIGACAO PREDIAL DE AGUA</t>
  </si>
  <si>
    <t>VENTOSA SIMPLES FOFO COM ROSCA REF. 3/4"</t>
  </si>
  <si>
    <t>ARRUELA BORRACHA PARA FLANGES PN-10 DN 50</t>
  </si>
  <si>
    <t>ARRUELA BORRACHA PARA FLANGES PN-10 DN 75</t>
  </si>
  <si>
    <t>PARAFUSO C/ PORCA P/ FLANGES FOFO 16X75MM</t>
  </si>
  <si>
    <t>00021012</t>
  </si>
  <si>
    <t>TUBO ACO GALVANIZADO COM COSTURA, CLASSE LEVE, DN 40 MM ( 1 1/2"), E = 3,00 MM, *3,48* KG/M (NBR 5580)</t>
  </si>
  <si>
    <t>00021013</t>
  </si>
  <si>
    <t>TUBO ACO GALVANIZADO COM COSTURA, CLASSE LEVE, DN 50 MM ( 2"), E = 3,00 MM, *4,40* KG/M (NBR 5580)</t>
  </si>
  <si>
    <t>00000778</t>
  </si>
  <si>
    <t>BUCHA DE REDUCAO DE FERRO GALVANIZADO, COM ROSCA BSP, DE 3" X 2"</t>
  </si>
  <si>
    <t>00001790</t>
  </si>
  <si>
    <t>CURVA 90 GRAUS DE FERRO GALVANIZADO, COM ROSCA BSP FEMEA, DE 2"</t>
  </si>
  <si>
    <t>00001798</t>
  </si>
  <si>
    <t>CURVA 90 GRAUS DE FERRO GALVANIZADO, COM ROSCA BSP MACHO, DE 2"</t>
  </si>
  <si>
    <t>00003268</t>
  </si>
  <si>
    <t>FLANGE SEXTAVADO DE FERRO GALVANIZADO, COM ROSCA BSP, DE 3"</t>
  </si>
  <si>
    <t>00003455</t>
  </si>
  <si>
    <t>COTOVELO 90 GRAUS DE FERRO GALVANIZADO, COM ROSCA BSP, DE 1/2"</t>
  </si>
  <si>
    <t>00003912</t>
  </si>
  <si>
    <t>LUVA DE FERRO GALVANIZADO, COM ROSCA BSP, DE 2"</t>
  </si>
  <si>
    <t>00004177</t>
  </si>
  <si>
    <t>NIPLE DE FERRO GALVANIZADO, COM ROSCA BSP, DE 1/2"</t>
  </si>
  <si>
    <t>00004181</t>
  </si>
  <si>
    <t>NIPLE DE FERRO GALVANIZADO, COM ROSCA BSP, DE 2"</t>
  </si>
  <si>
    <t>00004187</t>
  </si>
  <si>
    <t>NIPLE DE REDUCAO DE FERRO GALVANIZADO, COM ROSCA BSP, DE 3/4" X 1/2"</t>
  </si>
  <si>
    <t>00006294</t>
  </si>
  <si>
    <t>TE DE FERRO GALVANIZADO, DE 1/2"</t>
  </si>
  <si>
    <t>00006298</t>
  </si>
  <si>
    <t>TE DE FERRO GALVANIZADO, DE 2"</t>
  </si>
  <si>
    <t>00009883</t>
  </si>
  <si>
    <t>UNIAO DE FERRO GALVANIZADO, COM ROSCA BSP, COM ASSENTO PLANO, DE 1/2"</t>
  </si>
  <si>
    <t>00009887</t>
  </si>
  <si>
    <t>UNIAO DE FERRO GALVANIZADO, COM ROSCA BSP, COM ASSENTO PLANO, DE 2"</t>
  </si>
  <si>
    <t>00006020</t>
  </si>
  <si>
    <t>REGISTRO GAVETA BRUTO EM LATAO FORJADO, BITOLA 1/2 " (REF 1509)</t>
  </si>
  <si>
    <t>00006028</t>
  </si>
  <si>
    <t>REGISTRO GAVETA BRUTO EM LATAO FORJADO, BITOLA 2 " (REF 1509)</t>
  </si>
  <si>
    <t>00010232</t>
  </si>
  <si>
    <t>VALVULA DE RETENCAO DE BRONZE, PE COM CRIVOS, EXTREMIDADE COM ROSCA, DE 2", PARA FUNDO DE POCO</t>
  </si>
  <si>
    <t>00010408</t>
  </si>
  <si>
    <t>VALVULA DE RETENCAO HORIZONTAL, DE BRONZE (PN-25), 2", 400 PSI, TAMPA DE PORCA DE UNIAO, EXTREMIDADES COM ROSCA</t>
  </si>
  <si>
    <t>00011748</t>
  </si>
  <si>
    <t>VALVULA DE ESFERA BRUTA EM BRONZE, BITOLA 1/2 " (REF 1552-B)</t>
  </si>
  <si>
    <t>00012898</t>
  </si>
  <si>
    <t>MANOMETRO COM CAIXA EM ACO PINTADO, ESCALA *10* KGF/CM2 (*10* BAR), DIAMETRONOMINAL DE 100 MM, CONEXAO DE 1/2"</t>
  </si>
  <si>
    <t>AMORTECEDOR DE PULSAÇÃO EM LATÃO D 1/2"</t>
  </si>
  <si>
    <t>00000246</t>
  </si>
  <si>
    <t xml:space="preserve">AUXILIAR DE ENCANADOR OU BOMBEIRO HIDRAULICO </t>
  </si>
  <si>
    <t>COMP 4:</t>
  </si>
  <si>
    <t>00009836</t>
  </si>
  <si>
    <t>TUBO PVC SERIE NORMAL, DN 100 MM, PARA ESGOTO PREDIAL (NBR 5688)</t>
  </si>
  <si>
    <t>00007696</t>
  </si>
  <si>
    <t>TUBO ACO GALVANIZADO COM COSTURA, CLASSE MEDIA, DN 2"</t>
  </si>
  <si>
    <t>00010235</t>
  </si>
  <si>
    <t>VALVULA DE RETENCAO DE BRONZE, PE COM CRIVOS, EXTREMIDADE COM ROSCA, DE 3"</t>
  </si>
  <si>
    <t>00000738</t>
  </si>
  <si>
    <t>BOMBA CENTRIFUGA MOTOR ELETRICO TRIFASICO 5HP, DIAMETRO DE SUCCAO X ELEVACAO 2" X 1 1/2", DIAMETRO DO ROTOR 155 MM, HM/Q: 40 M / 20,40 M3/H A 46 M3 /H</t>
  </si>
  <si>
    <t>COMP 5:</t>
  </si>
  <si>
    <t>INSTALAÇÕES ELÉTRICAS PARA LIGAÇÃO DE CONJUNTO MOTOBOMBA POTÊNCIA 3,5 CV.</t>
  </si>
  <si>
    <t>CASA DE BOMBAS CAPTAÇÃO</t>
  </si>
  <si>
    <t>ILUMINAÇÃO E TOMADAS DE SERVIÇO</t>
  </si>
  <si>
    <t>Quadro de disjuntores de soprepor 8 circuitos norma DIN</t>
  </si>
  <si>
    <t>pç</t>
  </si>
  <si>
    <t>Disjuntor trifásico 50 A - norma DIN</t>
  </si>
  <si>
    <t>Disjuntor trifásico 32 A - norma DIN</t>
  </si>
  <si>
    <t>Disjuntor monofásico 10 A - norma DIN</t>
  </si>
  <si>
    <t>Disjuntor monofásico 20 A - norma DIN</t>
  </si>
  <si>
    <t>Eletroduto PVC condulete 3/4"</t>
  </si>
  <si>
    <t>Luva PVCeletroduto condulete</t>
  </si>
  <si>
    <t>Curva PVC 90° condulete</t>
  </si>
  <si>
    <t>Caixa condulete 4x2 3/4"</t>
  </si>
  <si>
    <t xml:space="preserve">Tampa condule p/ 1 tomada </t>
  </si>
  <si>
    <t>Tampa condulete p/ 1 interruptor c</t>
  </si>
  <si>
    <t>Tampa condulete cega</t>
  </si>
  <si>
    <t>Luminária comercial - completa 2 x 16w</t>
  </si>
  <si>
    <t>Tomada elétrica 110/220volts 10 A</t>
  </si>
  <si>
    <t>Interruptor 1 sessão 110 volts 10 A</t>
  </si>
  <si>
    <t>Cabo de cobre 2,5mm² 70°</t>
  </si>
  <si>
    <t>Cabo de cobre 1,5mm² 70°</t>
  </si>
  <si>
    <t>SUBTOTAL</t>
  </si>
  <si>
    <t>PADRÃO TRIFÁSICO DE ENTRADA</t>
  </si>
  <si>
    <t>Poste cir. Concreto alt. Mont. 11m/300kg, padrão Escelsa</t>
  </si>
  <si>
    <t>Cabo de cobre rigido 16mm² - 1000volts 70°</t>
  </si>
  <si>
    <t xml:space="preserve">Cabo de cobre nú 10mm² </t>
  </si>
  <si>
    <t>Caixa Acrilica de medição trifásica - padrão Escelsa</t>
  </si>
  <si>
    <t>cj</t>
  </si>
  <si>
    <t>Haste de aterramento 2,4 x 5/8"</t>
  </si>
  <si>
    <t>Eletroduto PVC rigido 1 1/4"</t>
  </si>
  <si>
    <t>Curva PVC 90° 1 1/4"</t>
  </si>
  <si>
    <t>Luva PVC 1 1/4"</t>
  </si>
  <si>
    <t>1.3</t>
  </si>
  <si>
    <t>CONJUNTO MOTO BOMBA 3,5 CV</t>
  </si>
  <si>
    <t xml:space="preserve">Quadro de comando  para duas bombas 3,5 CV, funcionamento alternado 24 hs, partida automática controlado por boias de nível, com função manual automática, indicador de bomba parada e bomba em serviço e bomba com defeito. </t>
  </si>
  <si>
    <t>Boia de nível</t>
  </si>
  <si>
    <t>Cabo PP shield  2 x 2,5mm²</t>
  </si>
  <si>
    <t xml:space="preserve">Cabo de cobre  4mm² </t>
  </si>
  <si>
    <t>Eletroduto PVC rigido 1"</t>
  </si>
  <si>
    <t>Curva PVC 90° 1"</t>
  </si>
  <si>
    <t>Luva PVC 1"</t>
  </si>
  <si>
    <t>COMP 6:</t>
  </si>
  <si>
    <t xml:space="preserve">00001958 </t>
  </si>
  <si>
    <t>CURVA DE PVC 90 GRAUS, SOLDAVEL, 40 MM, PARA AGUA FRIA PREDIAL (NBR 5648)</t>
  </si>
  <si>
    <t>00009874</t>
  </si>
  <si>
    <t xml:space="preserve">TUBO PVC, SOLDAVEL, DN 40 MM, AGUA FRIA (NBR-5648) </t>
  </si>
  <si>
    <t>00000109</t>
  </si>
  <si>
    <t>ADAPTADOR PVC SOLDAVEL CURTO COM BOLSA E ROSCA, 40 MM X 1 1/4", PARA AGUA FRIA</t>
  </si>
  <si>
    <t>00000103</t>
  </si>
  <si>
    <t>ADAPTADOR PVC SOLDAVEL CURTO COM BOLSA E ROSCA, 110 MM X 4", PARA AGUA FRIA</t>
  </si>
  <si>
    <t>00001962</t>
  </si>
  <si>
    <t xml:space="preserve">CURVA DE PVC 90 GRAUS, SOLDAVEL, 110 MM, PARA AGUA FRIA PREDIAL (NBR 5648) </t>
  </si>
  <si>
    <t xml:space="preserve">00009870 </t>
  </si>
  <si>
    <t xml:space="preserve">TUBO PVC, SOLDAVEL, DN 110 MM, AGUA FRIA (NBR-5648) </t>
  </si>
  <si>
    <t>CURVA DE PVC 90 GRAUS, SOLDAVEL, 110 MM, PARA AGUA FRIA PREDIAL (NBR 5648)</t>
  </si>
  <si>
    <t>00003073</t>
  </si>
  <si>
    <t xml:space="preserve">EXTREMIDADE PVC PBA, BF, JE, DN 100/ DE 110 MM (NBR 10351) </t>
  </si>
  <si>
    <t>00006300</t>
  </si>
  <si>
    <t>TE DE FERRO GALVANIZADO, DE 4"</t>
  </si>
  <si>
    <t>00001427</t>
  </si>
  <si>
    <t>COLAR TOMADA PVC, COM TRAVAS, SAIDA COM ROSCA, DE 110 MM X 1/2" OU 110 MM X 3/4", PARA LIGACAO PREDIAL DE AGUA</t>
  </si>
  <si>
    <t>LUVA PVC ROSC NBR5648 ISO7/1 DN 4"</t>
  </si>
  <si>
    <t>00006027</t>
  </si>
  <si>
    <t>REGISTRO GAVETA BRUTO EM LATAO FORJADO, BITOLA 4 "</t>
  </si>
  <si>
    <t>00004183</t>
  </si>
  <si>
    <t>NIPLE DE FERRO GALVANIZADO, COM ROSCA BSP, DE 4"</t>
  </si>
  <si>
    <t xml:space="preserve">UNIAO PVC ROSC NBR5648 DN 4" </t>
  </si>
  <si>
    <t xml:space="preserve">00009861 </t>
  </si>
  <si>
    <t>TUBO PVC, ROSCAVEL, 1 1/4", AGUA FRIA PREDIAL</t>
  </si>
  <si>
    <t xml:space="preserve">JOELHO 90 PVC ROSC NBR5648 DN 2" </t>
  </si>
  <si>
    <t>00006017</t>
  </si>
  <si>
    <t>REGISTRO GAVETA BRUTO EM LATAO FORJADO, BITOLA 1 1/4 "</t>
  </si>
  <si>
    <t>00003877</t>
  </si>
  <si>
    <t xml:space="preserve"> LUVA PVC, ROSCAVEL, 1 1/4", AGUA FRIA PREDIAL</t>
  </si>
  <si>
    <t>00007117</t>
  </si>
  <si>
    <t>TE PVC, ROSCAVEL, 90 GRAUS, 1 1/4", AGUA FRIA PREDIAL</t>
  </si>
  <si>
    <t>00004215</t>
  </si>
  <si>
    <t>NIPEL PVC, ROSCAVEL, 1 1/4", AGUA FRIA PREDIAL</t>
  </si>
  <si>
    <t>00000815</t>
  </si>
  <si>
    <t>BUCHA DE REDUCAO DE PVC, SOLDAVEL, LONGA, COM 60 X 40 MM, PARA AGUA FRIA PREDIAL</t>
  </si>
  <si>
    <t>MANGUEIRA PLASTICA TRANSPARENTE D 20MM</t>
  </si>
  <si>
    <t xml:space="preserve">00020067 </t>
  </si>
  <si>
    <t>TUBO PVC, PBV, SERIE R, DN 40 MM, PARA ESGOTO OU AGUAS PLUVIAIS PREDIAL (NBR 5688)</t>
  </si>
  <si>
    <t>CURVA 90 PVC ESG SN BB LONGA DN 40</t>
  </si>
  <si>
    <t xml:space="preserve">00009857 </t>
  </si>
  <si>
    <t>TUBO PVC, ROSCAVEL, 3", AGUA FRIA PREDIAL</t>
  </si>
  <si>
    <t xml:space="preserve">00006028 </t>
  </si>
  <si>
    <t>REGISTRO GAVETA BRUTO EM LATAO FORJADO, BITOLA 2 "</t>
  </si>
  <si>
    <t>TUBO PVC OCRE ESG PB JEI NBR7362 DN 150</t>
  </si>
  <si>
    <t>CURVA 90 PVC OCRE ESG PB JE DN 150</t>
  </si>
  <si>
    <t xml:space="preserve">CURVA 90 PVC ESG SN PB LONGA DN 100 </t>
  </si>
  <si>
    <t>TUBO PVC ROSC NBR5648 ISO7/1 DN 3/4"</t>
  </si>
  <si>
    <t xml:space="preserve">00001427 </t>
  </si>
  <si>
    <t xml:space="preserve">CURVA 90 PVC PB JE NBR5647 DN 50/DE 60 </t>
  </si>
  <si>
    <t>TUBO PVC BRANCO ESG SN PB NBR5688 DN 100</t>
  </si>
  <si>
    <t xml:space="preserve">CURVA 45 PVC ESG SN PB CURTA DN 100 </t>
  </si>
  <si>
    <t>TE PVC ESG BBB JE NBR7362 DN 100MM</t>
  </si>
  <si>
    <t>00009896</t>
  </si>
  <si>
    <t>UNIAO PVC, ROSCAVEL, 1 1/4", AGUA FRIA PREDIAL</t>
  </si>
  <si>
    <t xml:space="preserve">00004181 </t>
  </si>
  <si>
    <t>00009893</t>
  </si>
  <si>
    <t>UNIAO PVC, ROSCAVEL 2", AGUA FRIA PREDIAL</t>
  </si>
  <si>
    <t xml:space="preserve">00001788 </t>
  </si>
  <si>
    <t>CURVA 90 GRAUS DE FERRO GALVANIZADO, COM ROSCA BSP FEMEA, DE 1 1/4"</t>
  </si>
  <si>
    <t>00000107</t>
  </si>
  <si>
    <t>ADAPTADOR PVC SOLDAVEL CURTO COM BOLSA E ROSCA, 20 MM X 1/2", PARA AGUA FRIA</t>
  </si>
  <si>
    <t>00007146</t>
  </si>
  <si>
    <t>TE SOLDAVEL, PVC, 90 GRAUS, 110 MM, PARA AGUA FRIA PREDIAL (NBR 5648)</t>
  </si>
  <si>
    <t xml:space="preserve">CURVA 90 PVC SOLD NBR5648 DE 85MM </t>
  </si>
  <si>
    <t xml:space="preserve">00009872 </t>
  </si>
  <si>
    <t xml:space="preserve">TUBO PVC, SOLDAVEL, DN 85 MM, AGUA FRIA </t>
  </si>
  <si>
    <t>00006012</t>
  </si>
  <si>
    <t>REGISTRO GAVETA BRUTO EM LATAO FORJADO, BITOLA 3 "</t>
  </si>
  <si>
    <t>00004182</t>
  </si>
  <si>
    <t xml:space="preserve">NIPLE DE FERRO GALVANIZADO, COM ROSCA BSP, DE 3" </t>
  </si>
  <si>
    <t xml:space="preserve">00009902 </t>
  </si>
  <si>
    <t>UNIAO PVC, ROSCAVEL, 3", AGUA FRIA PREDIAL</t>
  </si>
  <si>
    <t>00000102</t>
  </si>
  <si>
    <t>ADAPTADOR PVC SOLDAVEL CURTO COM BOLSA E ROSCA, 85 MM X 3", PARA AGUA FRIA</t>
  </si>
  <si>
    <t>00006111</t>
  </si>
  <si>
    <t>SERVENTE</t>
  </si>
  <si>
    <t>COMP 7:</t>
  </si>
  <si>
    <t>DISJUNTOR MONOPOLAR - 110/220V 10A</t>
  </si>
  <si>
    <t>00002674</t>
  </si>
  <si>
    <t>ELETRODUTO DE PVC RIGIDO ROSCAVEL DE 3/4 ", SEM LUVA</t>
  </si>
  <si>
    <t>000039340</t>
  </si>
  <si>
    <t>CONDULETE EM PVC, TIPO "T", SEM TAMPA, DE 3/4"</t>
  </si>
  <si>
    <t>000039346</t>
  </si>
  <si>
    <t>TAMPA PARA CONDULETE, EM PVC, COM 1 OU 2 OU 3 POSTOS PARA INTERRUPTOR</t>
  </si>
  <si>
    <t>CURVA 90 PVC RIGIDO ELETRODUTO 3/4"</t>
  </si>
  <si>
    <t>000039334</t>
  </si>
  <si>
    <t>CONDULETE E- PVC C/ TOMADA E INTER 3/4"</t>
  </si>
  <si>
    <t>TAMPA PARA CONDULETE, EM PVC</t>
  </si>
  <si>
    <t>CONDULETE E PVC COM TOMADA</t>
  </si>
  <si>
    <t>FITA ISOLANTE ADESIVA 0,19X19MM RL 20M</t>
  </si>
  <si>
    <t>BRACADEIRA TIPO COPO 3/4"</t>
  </si>
  <si>
    <t>00004375</t>
  </si>
  <si>
    <t xml:space="preserve">BUCHA DE NYLON SEM ABA S6 </t>
  </si>
  <si>
    <t>00000983</t>
  </si>
  <si>
    <t>CABO DE COBRE, RIGIDO, CLASSE 2, ISOLACAO EM PVC/A, ANTICHAMA BWF-B, 1 CONDUTOR, 450/750 V, SECAO NOMINAL 1,5 MM2</t>
  </si>
  <si>
    <t>LUVA PVC RIGIDO ELETRODUTO 3/4"</t>
  </si>
  <si>
    <t>LAMPADA INCANDESCENTE 100W</t>
  </si>
  <si>
    <t>LUMINARIA INCAND.TIPO PLAFONIER COMPLETA</t>
  </si>
  <si>
    <t>CAIXA PARA DISJUNTORES COM 3 CIRCUITOS</t>
  </si>
  <si>
    <t xml:space="preserve">AJUDANTE </t>
  </si>
  <si>
    <t>ELETRICISTA</t>
  </si>
  <si>
    <t>COMP 8:</t>
  </si>
  <si>
    <t>00009856</t>
  </si>
  <si>
    <t>TUBO PVC, ROSCAVEL, 1/2", AGUA FRIA PREDIAL</t>
  </si>
  <si>
    <t>TUBO PVC RIGIDO ROSCAVEL DE 3/4"</t>
  </si>
  <si>
    <t>TUBO PVC SERIE NORMAL, DN 40 MM, PARA ESGOTO PREDIAL (NBR 5688)</t>
  </si>
  <si>
    <t>ADAPT PVC CX DAGUA RF NBR5648 DN 1/2"</t>
  </si>
  <si>
    <t>00006032</t>
  </si>
  <si>
    <t>REGISTRO DE ESFERA, PVC, COM VOLANTE, VS, ROSCAVEL, DN 3/4", COM CORPO DIVIDIDO</t>
  </si>
  <si>
    <t>00003505</t>
  </si>
  <si>
    <t>JOELHO PVC, ROSCAVEL, 90 GRAUS, 3/4", PARA AGUA FRIA PREDIAL</t>
  </si>
  <si>
    <t>00004211</t>
  </si>
  <si>
    <t>NIPEL PVC, ROSCAVEL, 3/4", AGUA FRIA PREDIAL</t>
  </si>
  <si>
    <t>00009899</t>
  </si>
  <si>
    <t>UNIAO PVC, ROSCAVEL, 3/4", AGUA FRIA PREDIAL</t>
  </si>
  <si>
    <t>00020154</t>
  </si>
  <si>
    <t>JOELHO, PVC SERIE R, 90 GRAUS, DN 40 MM, PARA ESGOTO PREDIAL</t>
  </si>
  <si>
    <t>TE PVC ROSC RB NBR5648 DN 3/4"X1/2"</t>
  </si>
  <si>
    <t>00006016</t>
  </si>
  <si>
    <t xml:space="preserve">REGISTRO GAVETA BRUTO EM LATAO FORJADO, BITOLA 3/4 " (REF 1509) </t>
  </si>
  <si>
    <t>TORNEIRA LONGA PVC D 1/2"</t>
  </si>
  <si>
    <t>00006150</t>
  </si>
  <si>
    <t>SIFAO EM METAL CROMADO PARA PIA AMERICANA, 1.1/2 X 2 "</t>
  </si>
  <si>
    <t>VALV PVC SEM UNHO PIA</t>
  </si>
  <si>
    <t>00001967</t>
  </si>
  <si>
    <t>CURVA PVC LONGA 90 GRAUS, 40 MM, PARA ESGOTO PREDIAL</t>
  </si>
  <si>
    <t>PEDREIRO</t>
  </si>
  <si>
    <t>COMP 9:</t>
  </si>
  <si>
    <t>TUBO PVC ROSC NBR5648 ISO7/1 DN 1/2"TUBO PVC, ROSCAVEL, 1/2", AGUA FRIA PREDIAL</t>
  </si>
  <si>
    <t>00009862</t>
  </si>
  <si>
    <t>TUBO PVC, ROSCAVEL, 1 1/2", AGUA FRIA PREDIAL</t>
  </si>
  <si>
    <t>ADAPT PVC CX DAGUA RF NBR5648 DN 1 1/2"</t>
  </si>
  <si>
    <t>00003543</t>
  </si>
  <si>
    <t>JOELHO PVC, ROSCAVEL, 90 GRAUS, 1/2", PARA AGUA FRIA PREDIAL</t>
  </si>
  <si>
    <t>00003883</t>
  </si>
  <si>
    <t>LUVA ROSCAVEL, PVC, 1/2", AGUA FRIA PREDIAL</t>
  </si>
  <si>
    <t>00004210</t>
  </si>
  <si>
    <t>NIPEL PVC, ROSCAVEL, 1/2", AGUA FRIA PREDIAL</t>
  </si>
  <si>
    <t>00007098</t>
  </si>
  <si>
    <t>TE PVC, ROSCAVEL, 90 GRAUS, 1/2", AGUA FRIA PREDIAL</t>
  </si>
  <si>
    <t>00009892</t>
  </si>
  <si>
    <t>UNIAO PVC, ROSCAVEL 1/2", AGUA FRIA PREDIAL</t>
  </si>
  <si>
    <t>00006036</t>
  </si>
  <si>
    <t>REGISTRO DE ESFERA PVC, COM BORBOLETA, COM ROSCA EXTERNA, DE 1/2"</t>
  </si>
  <si>
    <t>00011672</t>
  </si>
  <si>
    <t>REGISTRO DE ESFERA, PVC, COM VOLANTE, VS, ROSCAVEL, DN 1 1/2", COM CORPO DIVIDIDO</t>
  </si>
  <si>
    <t>00003143</t>
  </si>
  <si>
    <t>FITA VEDA ROSCA EM ROLOS DE 18 MM X 25 M (L X C)</t>
  </si>
  <si>
    <t>MAQUINA GERADORA ESTATICA HIPOCLORITO 50L</t>
  </si>
  <si>
    <t>00011823</t>
  </si>
  <si>
    <t>TORNEIRA PLASTICA DE BOIA PARA CAIXA DE DESCARGA, 1/2", COM HASTE METALICA E BALAO PLASTICO</t>
  </si>
  <si>
    <t>TANQUE VERT.CILIND.C/FUNDO PLANOCAP.230L</t>
  </si>
  <si>
    <t>DOSADOR DE NIVEL CONSTANTE CONF. DESENHO</t>
  </si>
  <si>
    <t>ESTABILIZADOR DE VOLTAGEM 1KV</t>
  </si>
  <si>
    <t>MATERIAIS E EQUIP. DE LAB.</t>
  </si>
  <si>
    <t>COMP 10:</t>
  </si>
  <si>
    <t>BEAKER FORMA BAIXA VIDRO 1000ML</t>
  </si>
  <si>
    <t>FRASCO AMBAR P/REAGENTE CAP 500ML</t>
  </si>
  <si>
    <t>PIPETA VOLUMETRICA CAP 1ML-RBC</t>
  </si>
  <si>
    <t>PIPETA MOHR SUBD 1/10 CAP 5ML</t>
  </si>
  <si>
    <t>PROVETA V.BOROSSIL S/ROLHA CAP 100ML</t>
  </si>
  <si>
    <t>PROVETA V.BOROSSIL S/ROLHA CAP 50ML</t>
  </si>
  <si>
    <t>COLORIMETRO P/COR MOD PORTATIL</t>
  </si>
  <si>
    <t>CLORIMETRO P/CLORO MOD PORTATIL</t>
  </si>
  <si>
    <t>COMP 11:</t>
  </si>
  <si>
    <t xml:space="preserve">00036373 </t>
  </si>
  <si>
    <t>TUBO PVC PBA JEI, CLASSE 12, DN 75 MM, PARA REDE DE AGUA (NBR 5647)</t>
  </si>
  <si>
    <t>00009870</t>
  </si>
  <si>
    <t>00003530</t>
  </si>
  <si>
    <t>JOELHO PVC, SOLDAVEL, 90 GRAUS, 110 MM, PARA AGUA FRIA PREDIAL</t>
  </si>
  <si>
    <t>CAP PVC SOLD NBR5648 DE 25MM</t>
  </si>
  <si>
    <t xml:space="preserve">REGISTRO GAVETA BRUTO EM LATAO FORJADO, BITOLA 3 " (REF 1509) </t>
  </si>
  <si>
    <t>UM</t>
  </si>
  <si>
    <t>FILTRO 3 L/S EM FIBRA DE VIDRO/ 2000</t>
  </si>
  <si>
    <t>COMP 12:</t>
  </si>
  <si>
    <t xml:space="preserve">FORNECIMENTO E ASSENTAMENTO DE FILTRO RÁPIDO PARA 3 L/S EM FIBRA DE VIDRO,  PRÓ-RURAL/ CESAN N.º 05/2000, INCLUSIVE BASE PARA APOIO EM CONCRETO ARMADO; CAIXA PARA DESCARGA; CAIXA DE REGISTRO; REGISTRO; LEITO FILTRANTE; TUBOS E CONEXÕES PARA LAVAGEM DO FILTRO E ADUÇÃO DA ÁGUA FILTRADA. </t>
  </si>
  <si>
    <t xml:space="preserve">062506 </t>
  </si>
  <si>
    <t>TUBO DE PVC SOLDAVEL DE 60MM</t>
  </si>
  <si>
    <t>TUBO PVC, SOLDAVEL, DN 110 MM, AGUA FRIA (NBR-5648)</t>
  </si>
  <si>
    <t>062375</t>
  </si>
  <si>
    <t>TUBO PVC RIG. CINZA P/ESGOTO DE 150MM (6")</t>
  </si>
  <si>
    <t>EXTREMIDADE PVC PBA, BF, JE, DN 100/ DE 110 MM (NBR 10351)</t>
  </si>
  <si>
    <t xml:space="preserve">00003879 </t>
  </si>
  <si>
    <t>LUVA PVC, ROSCAVEL, 2", AGUA FRIA PREDIAL</t>
  </si>
  <si>
    <t>00000113</t>
  </si>
  <si>
    <t>ADAPTADOR PVC SOLDAVEL CURTO COM BOLSA E ROSCA, 60 MM X 2", PARA AGUA FRIA</t>
  </si>
  <si>
    <t>00003512</t>
  </si>
  <si>
    <t>JOELHO, PVC SOLDAVEL, 45 GRAUS, 110 MM, PARA AGUA FRIA PREDIAL</t>
  </si>
  <si>
    <t>REGISTRO GAVETA BRUTO EM LATAO FORJADO, BITOLA 4 " (REF 1509)</t>
  </si>
  <si>
    <t>00037950</t>
  </si>
  <si>
    <t xml:space="preserve">JOELHO PVC, SOLDAVEL, PB, 90 GRAUS, DN 150 MM, PARA ESGOTO PREDIAL </t>
  </si>
  <si>
    <t>FILTRO 3L/S EM FIBRA</t>
  </si>
  <si>
    <t xml:space="preserve">CONSTRUÇÃO DE CAIXA PARA PROTEÇÃO DAS DESCARGAS INCLUSIVE FORN. DE MATERIAIS </t>
  </si>
  <si>
    <t>7040100060</t>
  </si>
  <si>
    <t>7070100200</t>
  </si>
  <si>
    <t xml:space="preserve">CONCRETO FCK 150 KG/CM2, VIRADO NA OBRA </t>
  </si>
  <si>
    <t xml:space="preserve">ALVENARIA BLOCO CONCRETO E=9CM APARENTE </t>
  </si>
  <si>
    <t>7100100140</t>
  </si>
  <si>
    <t>REBOCO PAULISTA ARGAM CIMENTO/AREIA 1:3</t>
  </si>
  <si>
    <t xml:space="preserve">CHAPISCO INT/EXT ARGAM CIMENTO/AREIA 1:3   </t>
  </si>
  <si>
    <t>PINT ANTICORROSIVA ZARCAO FERRO 2 DEMAOS</t>
  </si>
  <si>
    <t>7040100050</t>
  </si>
  <si>
    <t>ESCAVACAO MANUAL SOLO 2ªCAT PROF ATE 3M</t>
  </si>
  <si>
    <t>7040100190</t>
  </si>
  <si>
    <t>REATERRO MAN SEM COMPACTACAO CONTROLADA</t>
  </si>
  <si>
    <t>7170100520</t>
  </si>
  <si>
    <t>ASSENTAMENTO TUBO PVC SOLDA D 110</t>
  </si>
  <si>
    <t>FORNECIMENTO DE LEITO FILTRANTE</t>
  </si>
  <si>
    <t>7230100160</t>
  </si>
  <si>
    <t>AREIA PARA FILTRO TE=0,50MM CU=1,5MM</t>
  </si>
  <si>
    <t>7230100110</t>
  </si>
  <si>
    <t xml:space="preserve">SEIXO ROLADO PARA FILTRO 50MMX25MM </t>
  </si>
  <si>
    <t>7230100120</t>
  </si>
  <si>
    <t>SEIXO ROLADO PARA FILTRO 19MMX12,7MM</t>
  </si>
  <si>
    <t>7230100130</t>
  </si>
  <si>
    <t xml:space="preserve">SEIXO ROLADO PARA FILTRO 12,7MMX6,3MM </t>
  </si>
  <si>
    <t>7230100140</t>
  </si>
  <si>
    <t>SEIXO ROLADO PARA FILTRO 6,3MMX3,2MM</t>
  </si>
  <si>
    <t xml:space="preserve">7230100150 </t>
  </si>
  <si>
    <t>SEIXO ROLADO PARA FILTRO 3,2MMX2,0MM</t>
  </si>
  <si>
    <t>MÃO DE OBRA PARA INSTALAÇÃO DO FILTRO</t>
  </si>
  <si>
    <t>010101</t>
  </si>
  <si>
    <t>TRANSPORTE DO FILTRO ATÉ A OBRA</t>
  </si>
  <si>
    <t>080170</t>
  </si>
  <si>
    <t>CAMINHAO CARR MBENZ L1620/51 C/GUIND. 6T X M(E434)</t>
  </si>
  <si>
    <t>COMP 13:</t>
  </si>
  <si>
    <t>CASA DE BOMBAS - ETA</t>
  </si>
  <si>
    <t>13.1</t>
  </si>
  <si>
    <t>Disjuntor trifásico 20 A - norma DIN</t>
  </si>
  <si>
    <t>13.2</t>
  </si>
  <si>
    <t>Poste padrão completo</t>
  </si>
  <si>
    <t>13.3</t>
  </si>
  <si>
    <t xml:space="preserve">Quadro de comando  para duas bombas 3/4 CV, funcionamento alternado 24 hs, partida automática controlado por boias de nível, com função manual automática, indicador de bomba parada e bomba em serviço e bomba com defeito. </t>
  </si>
  <si>
    <t>BARRILETE 1 1/4" - PARA COMPARTIMENTO DE BOMBAS</t>
  </si>
  <si>
    <t>COMP 14:</t>
  </si>
  <si>
    <t>FORNECIMENTO E EXECUÇÃO DE INSTALAÇÕES HIDRÁULICAS DO BARRILETE EM PVC 1 1/4", PARA COMPARTIMENTO DE BOMBAS, INCLUSIVE CONJUNTO MOTO-BOMBA.</t>
  </si>
  <si>
    <t>00009861</t>
  </si>
  <si>
    <t>00009873</t>
  </si>
  <si>
    <t>TUBO PVC, SOLDAVEL, DN 60 MM, AGUA FRIA (NBR-5648)</t>
  </si>
  <si>
    <t>00007048</t>
  </si>
  <si>
    <t>TE, PVC PBA, BBB, 90 GRAUS, DN 50 / DE 60 MM, PARA REDE AGUA (NBR 10351)</t>
  </si>
  <si>
    <t>00001940</t>
  </si>
  <si>
    <t>CURVA PVC 90 GRAUS, ROSCAVEL, 1 1/4", AGUA FRIA PREDIAL</t>
  </si>
  <si>
    <t>00001902</t>
  </si>
  <si>
    <t>LUVA EM PVC RIGIDO ROSCAVEL, DE 1 1/4", PARA ELETRODUTO</t>
  </si>
  <si>
    <t xml:space="preserve">00004215 </t>
  </si>
  <si>
    <t xml:space="preserve">00007117 </t>
  </si>
  <si>
    <t xml:space="preserve">00000815 </t>
  </si>
  <si>
    <t>00001958</t>
  </si>
  <si>
    <t xml:space="preserve">CURVA DE PVC 90 GRAUS, SOLDAVEL, 40 MM, PARA AGUA FRIA PREDIAL (NBR 5648) </t>
  </si>
  <si>
    <t>00001929</t>
  </si>
  <si>
    <t xml:space="preserve">CURVA DE PVC 45 GRAUS, SOLDAVEL, 40 MM, PARA AGUA FRIA PREDIAL (NBR 5648) </t>
  </si>
  <si>
    <t>00003539</t>
  </si>
  <si>
    <t>JOELHO PVC, SOLDAVEL, 90 GRAUS, 60 MM, PARA AGUA FRIA PREDIAL</t>
  </si>
  <si>
    <t>00004206</t>
  </si>
  <si>
    <t>NIPLE DE REDUCAO DE FERRO GALVANIZADO, COM ROSCA BSP, DE 1 1/4" X 1"</t>
  </si>
  <si>
    <t>REGISTRO GAVETA BRUTO EM LATAO FORJADO, BITOLA 1 1/4 " (REF 1509)</t>
  </si>
  <si>
    <t>00010411</t>
  </si>
  <si>
    <t>VALVULA DE RETENCAO HORIZONTAL, DE BRONZE (PN-25), 1 1/4", 400 PSI, TAMPA DE PORCA DE UNIAO, EXTREMIDADES COM ROSCA</t>
  </si>
  <si>
    <t>00000733</t>
  </si>
  <si>
    <t>BOMBA CENTRIFUGA MOTOR ELETRICO MONOFASICO 0,74HP DIAMETRO DE SUCCAO X ELEVACAO 1 1/4" X 1", DIAMETRO DO ROTOR 120 MM, HM/Q: 8 M / 7,70 M3/H A 24 M / 2,80 M3/H</t>
  </si>
  <si>
    <t>CJ</t>
  </si>
  <si>
    <t>7160100010</t>
  </si>
  <si>
    <t>RESERVATÓRIO EM FIBRA DE VIDRO</t>
  </si>
  <si>
    <t>COMP 15:</t>
  </si>
  <si>
    <t>FORNECIMENTO E ASSENTAMENTO DE RESERVATÓRIO CIRCULAR, EM FIBRA DE VIDRO, REFORÇADO, COM CAPACIDADE DE 20m3, INCLUSIVE TRANSPORTE ATÉ A OBRA.</t>
  </si>
  <si>
    <t>CAIXA D'ÁGUA FIBRA DE VIDRO, ANTI-ALGAS, 20 M3</t>
  </si>
  <si>
    <t>MERCADO LIVRE</t>
  </si>
  <si>
    <t>00036084</t>
  </si>
  <si>
    <t>00009860</t>
  </si>
  <si>
    <t xml:space="preserve">TUBO PVC, ROSCAVEL, 2", PARA AGUA FRIA PREDIAL </t>
  </si>
  <si>
    <t>00003825</t>
  </si>
  <si>
    <t>LUVA DE CORRER, PVC PBA, JE, DN 50 / DE 60 MM, PARA REDE AGUA (NBR 10351)</t>
  </si>
  <si>
    <t>00000069</t>
  </si>
  <si>
    <t>ADAPTADOR PVC SOLDAVEL, COM FLANGES LIVRES, 60 MM X 2", PARA CAIXA D' AGUA</t>
  </si>
  <si>
    <t xml:space="preserve">00000103 </t>
  </si>
  <si>
    <t>00000826</t>
  </si>
  <si>
    <t>BUCHA DE REDUCAO DE PVC, SOLDAVEL, LONGA, COM 110 X 60 MM, PARA AGUA FRIA PREDIAL</t>
  </si>
  <si>
    <t>COMP 16:</t>
  </si>
  <si>
    <t>BUCHA DE REDUCAO DE PVC, SOLDAVEL, LONGA, COM 110 X 60 MM, PARA AGUA FRIA</t>
  </si>
  <si>
    <t>00001924</t>
  </si>
  <si>
    <t>CURVA DE PVC 45 GRAUS, SOLDAVEL, 60 MM, PARA AGUA FRIA PREDIAL (NBR 5648)</t>
  </si>
  <si>
    <t xml:space="preserve">00001924 </t>
  </si>
  <si>
    <t>TUBO PVC, ROSCAVEL, 2", PARA AGUA FRIA PREDIAL</t>
  </si>
  <si>
    <t xml:space="preserve">TUBO PVC BRANCO ESG SN PB NBR5688 DN 75 </t>
  </si>
  <si>
    <t xml:space="preserve">00004896 </t>
  </si>
  <si>
    <t>PLUG PVC, ROSCAVEL 3/4", PARA AGUA FRIA PREDIAL</t>
  </si>
  <si>
    <t>COMP 17:</t>
  </si>
  <si>
    <t>FORNECIMENTO E ASSENTAMENTO DE RESERVATÓRIO CIRCULAR, EM FIBRA DE VIDRO, REFORÇADO, COM CAPACIDADE DE 10m3, INCLUSIVE TRANSPORTE ATÉ A OBRA.</t>
  </si>
  <si>
    <t>CAIXA D'ÁGUA FIBRA DE VIDRO, ANTI-ALGAS, 10 M3</t>
  </si>
  <si>
    <t>DESCARGA DE ADUTORA</t>
  </si>
  <si>
    <t>COMP 18:</t>
  </si>
  <si>
    <t>FORNECIMENTO E EXECUÇÃO DE DESCARGA DE ADUTORA OU REDE DN 50</t>
  </si>
  <si>
    <t>VENTOSA</t>
  </si>
  <si>
    <t>COMP 19:</t>
  </si>
  <si>
    <t xml:space="preserve">00001412 </t>
  </si>
  <si>
    <t>COLAR TOMADA PVC, COM TRAVAS, SAIDA COM ROSCA, DE 85 MM X 1/2" OU 85 MM X 3/4" PARA LIGACAO PREDIAL DE AGUA</t>
  </si>
  <si>
    <t xml:space="preserve">00004178 </t>
  </si>
  <si>
    <t>NIPLE DE FERRO GALVANIZADO, COM ROSCA BSP, DE 3/4"</t>
  </si>
  <si>
    <t>00036373</t>
  </si>
  <si>
    <t>7070100120</t>
  </si>
  <si>
    <t xml:space="preserve">FORMA PLANA DE MADEIRA - PILAR/VIGA/PARE </t>
  </si>
  <si>
    <t>VRP</t>
  </si>
  <si>
    <t>COMP 20:</t>
  </si>
  <si>
    <t>EXTREMIDADE FLANGE FOFO BOLSA-PN 10 DN 75MM</t>
  </si>
  <si>
    <t>UNID</t>
  </si>
  <si>
    <t>00006313</t>
  </si>
  <si>
    <t>TE DE REDUCAO DE FERRO GALVANIZADO, COM ROSCA BSP, DE 3" X 2"</t>
  </si>
  <si>
    <t>TOCO FOFO FF L = 0,25M - PN10 DN 50MM</t>
  </si>
  <si>
    <t>FILTRO Y FOFO PN10 DN 50MM</t>
  </si>
  <si>
    <t>REGISTRO FOFO EURO 23 C/ CUNHA DE BORRACHA DN 50MM PN10</t>
  </si>
  <si>
    <t>VÁLVULA FOFO REDUTORA DE PRESSÃO DE AÇÃO DIRETA VALLOY MODELO VA 601D (OU SIMILAR)</t>
  </si>
  <si>
    <t>REGISTRO FOFO EURO 23 C/ CUNHA DE BORRACHA DN 75MM PN10</t>
  </si>
  <si>
    <t>TUBO FOFO L = 0,80M PN10 DN 75MM</t>
  </si>
  <si>
    <t>ADAPTADOR FOFO BOLSA FLANGE PN10 DN 50MM</t>
  </si>
  <si>
    <t>TOCO FOFO FLANGE L = 0,15M PN10 DN 50MM</t>
  </si>
  <si>
    <r>
      <rPr>
        <b/>
        <sz val="10"/>
        <rFont val="Arial"/>
        <family val="2"/>
      </rPr>
      <t>BDI:</t>
    </r>
    <r>
      <rPr>
        <sz val="10"/>
        <rFont val="Arial"/>
        <family val="2"/>
      </rPr>
      <t xml:space="preserve"> 26,19%</t>
    </r>
  </si>
  <si>
    <r>
      <rPr>
        <b/>
        <sz val="10"/>
        <rFont val="Arial"/>
        <family val="2"/>
      </rPr>
      <t>LS:</t>
    </r>
    <r>
      <rPr>
        <sz val="10"/>
        <rFont val="Arial"/>
        <family val="2"/>
      </rPr>
      <t xml:space="preserve">  157,27%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</si>
</sst>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76" formatCode="_(&quot;R$ &quot;* #,##0.00_);_(&quot;R$ &quot;* \(#,##0.00\);_(&quot;R$ &quot;* &quot;-&quot;??_);_(@_)"/>
    <numFmt numFmtId="177" formatCode="_(* #,##0.00_);_(* \(#,##0.00\);_(* &quot;-&quot;??_);_(@_)"/>
    <numFmt numFmtId="181" formatCode="0.000"/>
    <numFmt numFmtId="190" formatCode="#,##0.000"/>
  </numFmts>
  <fonts count="40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sz val="10"/>
      <name val="Times New Roman"/>
      <family val="1"/>
    </font>
    <font>
      <b/>
      <sz val="12"/>
      <name val="Arial"/>
      <family val="2"/>
    </font>
    <font>
      <sz val="10"/>
      <color indexed="8"/>
      <name val="Century Gothic"/>
      <family val="2"/>
    </font>
    <font>
      <i/>
      <sz val="8"/>
      <name val="Arial"/>
      <family val="2"/>
    </font>
    <font>
      <sz val="8"/>
      <name val="Calibri"/>
      <family val="2"/>
    </font>
    <font>
      <b/>
      <i/>
      <sz val="8"/>
      <name val="Arial"/>
      <family val="2"/>
    </font>
    <font>
      <b/>
      <i/>
      <sz val="9"/>
      <name val="Arial"/>
      <family val="2"/>
    </font>
    <font>
      <b/>
      <i/>
      <sz val="14"/>
      <name val="Arial"/>
      <family val="2"/>
    </font>
    <font>
      <b/>
      <i/>
      <sz val="12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Arial"/>
      <family val="2"/>
    </font>
    <font>
      <sz val="13"/>
      <name val="Arial"/>
      <family val="2"/>
    </font>
    <font>
      <sz val="13"/>
      <name val="Times New Roman"/>
      <family val="1"/>
    </font>
    <font>
      <b/>
      <i/>
      <sz val="11"/>
      <name val="Times New Roman"/>
      <family val="1"/>
    </font>
    <font>
      <b/>
      <sz val="13"/>
      <name val="Times New Roman"/>
      <family val="1"/>
    </font>
    <font>
      <sz val="10"/>
      <color indexed="8"/>
      <name val="Arial"/>
      <family val="2"/>
    </font>
    <font>
      <b/>
      <i/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10"/>
      <color indexed="8"/>
      <name val="Times New Roman"/>
      <family val="1"/>
    </font>
    <font>
      <sz val="11"/>
      <color indexed="8"/>
      <name val="Times New Roman"/>
      <family val="1"/>
    </font>
    <font>
      <b/>
      <i/>
      <sz val="12"/>
      <name val="Times New Roman"/>
      <family val="1"/>
    </font>
    <font>
      <sz val="7"/>
      <name val="Arial"/>
      <family val="2"/>
    </font>
    <font>
      <sz val="9"/>
      <color rgb="FF000000"/>
      <name val="Arial"/>
      <family val="2"/>
    </font>
    <font>
      <sz val="28"/>
      <color rgb="FFFF0000"/>
      <name val="Aharoni"/>
      <charset val="177"/>
    </font>
    <font>
      <sz val="9"/>
      <color theme="1"/>
      <name val="Arial"/>
      <family val="2"/>
    </font>
    <font>
      <b/>
      <sz val="11"/>
      <color theme="1"/>
      <name val="Times New Roman"/>
      <family val="1"/>
    </font>
    <font>
      <b/>
      <sz val="10"/>
      <color theme="1"/>
      <name val="Century Gothic"/>
      <family val="2"/>
    </font>
    <font>
      <b/>
      <sz val="12"/>
      <color theme="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76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 applyNumberFormat="0" applyFill="0" applyAlignment="0" applyProtection="0"/>
    <xf numFmtId="177" fontId="1" fillId="0" borderId="0" applyFont="0" applyFill="0" applyBorder="0" applyAlignment="0" applyProtection="0"/>
    <xf numFmtId="177" fontId="2" fillId="0" borderId="0" applyFont="0" applyFill="0" applyBorder="0" applyAlignment="0" applyProtection="0"/>
  </cellStyleXfs>
  <cellXfs count="463">
    <xf numFmtId="0" fontId="0" fillId="0" borderId="0" xfId="0"/>
    <xf numFmtId="0" fontId="2" fillId="0" borderId="0" xfId="0" applyFont="1" applyAlignment="1">
      <alignment vertical="top" wrapText="1"/>
    </xf>
    <xf numFmtId="0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/>
    <xf numFmtId="0" fontId="6" fillId="0" borderId="0" xfId="0" applyFont="1"/>
    <xf numFmtId="0" fontId="8" fillId="0" borderId="0" xfId="0" applyFont="1"/>
    <xf numFmtId="0" fontId="9" fillId="0" borderId="0" xfId="0" applyFont="1" applyAlignment="1">
      <alignment horizontal="center" vertical="top"/>
    </xf>
    <xf numFmtId="0" fontId="9" fillId="0" borderId="0" xfId="0" applyFont="1"/>
    <xf numFmtId="177" fontId="9" fillId="0" borderId="0" xfId="6" applyFont="1"/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vertical="top"/>
    </xf>
    <xf numFmtId="0" fontId="10" fillId="0" borderId="0" xfId="0" applyFont="1"/>
    <xf numFmtId="177" fontId="10" fillId="0" borderId="0" xfId="6" applyFont="1"/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177" fontId="1" fillId="0" borderId="0" xfId="6"/>
    <xf numFmtId="0" fontId="2" fillId="0" borderId="0" xfId="0" applyFont="1" applyAlignment="1">
      <alignment wrapText="1"/>
    </xf>
    <xf numFmtId="0" fontId="34" fillId="0" borderId="0" xfId="0" applyFont="1" applyFill="1" applyBorder="1" applyAlignment="1">
      <alignment horizontal="center" vertical="top" wrapText="1"/>
    </xf>
    <xf numFmtId="0" fontId="0" fillId="0" borderId="0" xfId="0" applyAlignment="1"/>
    <xf numFmtId="0" fontId="34" fillId="0" borderId="0" xfId="0" applyFont="1" applyFill="1" applyBorder="1" applyAlignment="1">
      <alignment vertical="top" wrapText="1"/>
    </xf>
    <xf numFmtId="0" fontId="34" fillId="0" borderId="0" xfId="0" applyFont="1" applyFill="1" applyBorder="1" applyAlignment="1">
      <alignment horizontal="right" vertical="top" wrapText="1"/>
    </xf>
    <xf numFmtId="0" fontId="2" fillId="0" borderId="0" xfId="0" applyFont="1" applyAlignment="1"/>
    <xf numFmtId="177" fontId="6" fillId="2" borderId="1" xfId="6" applyFont="1" applyFill="1" applyBorder="1" applyAlignment="1">
      <alignment horizontal="right" vertical="center" wrapText="1"/>
    </xf>
    <xf numFmtId="177" fontId="6" fillId="2" borderId="0" xfId="6" applyFont="1" applyFill="1" applyBorder="1" applyAlignment="1">
      <alignment horizontal="right" vertical="top" wrapText="1"/>
    </xf>
    <xf numFmtId="0" fontId="6" fillId="0" borderId="0" xfId="0" applyNumberFormat="1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top" wrapText="1"/>
    </xf>
    <xf numFmtId="4" fontId="6" fillId="2" borderId="0" xfId="0" applyNumberFormat="1" applyFont="1" applyFill="1" applyBorder="1" applyAlignment="1">
      <alignment horizontal="right" vertical="top" wrapText="1"/>
    </xf>
    <xf numFmtId="0" fontId="2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177" fontId="2" fillId="3" borderId="1" xfId="6" applyFont="1" applyFill="1" applyBorder="1" applyAlignment="1">
      <alignment horizontal="right" vertical="center" wrapText="1"/>
    </xf>
    <xf numFmtId="177" fontId="5" fillId="3" borderId="1" xfId="6" applyFont="1" applyFill="1" applyBorder="1" applyAlignment="1">
      <alignment horizontal="right" vertical="center" wrapText="1"/>
    </xf>
    <xf numFmtId="0" fontId="2" fillId="0" borderId="1" xfId="0" applyFont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177" fontId="2" fillId="2" borderId="1" xfId="6" applyFont="1" applyFill="1" applyBorder="1" applyAlignment="1">
      <alignment horizontal="right" vertical="center" wrapText="1"/>
    </xf>
    <xf numFmtId="0" fontId="35" fillId="0" borderId="0" xfId="0" applyFont="1" applyAlignment="1"/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2" fontId="2" fillId="0" borderId="2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4" borderId="3" xfId="0" applyNumberFormat="1" applyFont="1" applyFill="1" applyBorder="1" applyAlignment="1">
      <alignment horizontal="center" vertical="center"/>
    </xf>
    <xf numFmtId="2" fontId="4" fillId="4" borderId="3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vertical="center"/>
    </xf>
    <xf numFmtId="0" fontId="4" fillId="3" borderId="5" xfId="0" applyFont="1" applyFill="1" applyBorder="1" applyAlignment="1">
      <alignment horizontal="center" vertical="center"/>
    </xf>
    <xf numFmtId="2" fontId="4" fillId="3" borderId="5" xfId="0" applyNumberFormat="1" applyFont="1" applyFill="1" applyBorder="1" applyAlignment="1">
      <alignment horizontal="center" vertical="center"/>
    </xf>
    <xf numFmtId="2" fontId="4" fillId="3" borderId="6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2" fontId="2" fillId="0" borderId="2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2" fontId="2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center" vertical="center"/>
    </xf>
    <xf numFmtId="2" fontId="13" fillId="0" borderId="1" xfId="0" applyNumberFormat="1" applyFont="1" applyFill="1" applyBorder="1" applyAlignment="1">
      <alignment horizontal="center" vertical="center"/>
    </xf>
    <xf numFmtId="181" fontId="1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2" fontId="15" fillId="0" borderId="1" xfId="0" applyNumberFormat="1" applyFont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Border="1"/>
    <xf numFmtId="0" fontId="13" fillId="0" borderId="0" xfId="0" applyFont="1" applyFill="1" applyAlignment="1">
      <alignment vertical="center"/>
    </xf>
    <xf numFmtId="0" fontId="6" fillId="0" borderId="0" xfId="0" applyFont="1" applyFill="1"/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2" fontId="2" fillId="4" borderId="1" xfId="0" applyNumberFormat="1" applyFont="1" applyFill="1" applyBorder="1" applyAlignment="1">
      <alignment horizontal="center" vertical="center"/>
    </xf>
    <xf numFmtId="181" fontId="2" fillId="4" borderId="1" xfId="0" applyNumberFormat="1" applyFont="1" applyFill="1" applyBorder="1" applyAlignment="1">
      <alignment horizontal="center" vertical="center"/>
    </xf>
    <xf numFmtId="10" fontId="2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right" vertical="center"/>
    </xf>
    <xf numFmtId="2" fontId="13" fillId="4" borderId="1" xfId="0" applyNumberFormat="1" applyFont="1" applyFill="1" applyBorder="1" applyAlignment="1">
      <alignment horizontal="center" vertical="center"/>
    </xf>
    <xf numFmtId="181" fontId="13" fillId="4" borderId="1" xfId="0" applyNumberFormat="1" applyFont="1" applyFill="1" applyBorder="1" applyAlignment="1">
      <alignment horizontal="center" vertical="center"/>
    </xf>
    <xf numFmtId="2" fontId="15" fillId="4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vertical="center"/>
    </xf>
    <xf numFmtId="2" fontId="2" fillId="4" borderId="0" xfId="0" applyNumberFormat="1" applyFont="1" applyFill="1" applyAlignment="1">
      <alignment horizontal="center" vertical="center"/>
    </xf>
    <xf numFmtId="2" fontId="4" fillId="4" borderId="0" xfId="0" applyNumberFormat="1" applyFont="1" applyFill="1" applyAlignment="1">
      <alignment horizontal="center" vertical="center"/>
    </xf>
    <xf numFmtId="49" fontId="2" fillId="0" borderId="0" xfId="0" applyNumberFormat="1" applyFont="1" applyAlignment="1">
      <alignment vertical="center" wrapText="1"/>
    </xf>
    <xf numFmtId="49" fontId="2" fillId="0" borderId="0" xfId="0" applyNumberFormat="1" applyFont="1" applyAlignment="1">
      <alignment wrapText="1"/>
    </xf>
    <xf numFmtId="0" fontId="11" fillId="0" borderId="0" xfId="0" applyFont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5" fillId="3" borderId="1" xfId="0" applyNumberFormat="1" applyFont="1" applyFill="1" applyBorder="1" applyAlignment="1">
      <alignment horizontal="center" wrapText="1"/>
    </xf>
    <xf numFmtId="177" fontId="5" fillId="3" borderId="1" xfId="6" applyFont="1" applyFill="1" applyBorder="1" applyAlignment="1">
      <alignment horizontal="center" wrapText="1"/>
    </xf>
    <xf numFmtId="177" fontId="5" fillId="3" borderId="1" xfId="1" applyNumberFormat="1" applyFont="1" applyFill="1" applyBorder="1" applyAlignment="1">
      <alignment horizontal="center" wrapText="1"/>
    </xf>
    <xf numFmtId="3" fontId="6" fillId="0" borderId="7" xfId="0" applyNumberFormat="1" applyFont="1" applyBorder="1" applyAlignment="1">
      <alignment horizontal="center"/>
    </xf>
    <xf numFmtId="4" fontId="6" fillId="0" borderId="7" xfId="0" applyNumberFormat="1" applyFont="1" applyBorder="1" applyAlignment="1">
      <alignment horizontal="left" wrapText="1"/>
    </xf>
    <xf numFmtId="4" fontId="6" fillId="0" borderId="7" xfId="0" applyNumberFormat="1" applyFont="1" applyBorder="1" applyAlignment="1">
      <alignment horizontal="center"/>
    </xf>
    <xf numFmtId="10" fontId="6" fillId="0" borderId="7" xfId="0" applyNumberFormat="1" applyFont="1" applyBorder="1" applyAlignment="1">
      <alignment horizontal="center"/>
    </xf>
    <xf numFmtId="4" fontId="0" fillId="0" borderId="0" xfId="0" applyNumberFormat="1" applyAlignment="1"/>
    <xf numFmtId="10" fontId="6" fillId="0" borderId="7" xfId="4" applyNumberFormat="1" applyFont="1" applyBorder="1" applyAlignment="1">
      <alignment horizontal="center"/>
    </xf>
    <xf numFmtId="4" fontId="6" fillId="0" borderId="8" xfId="0" applyNumberFormat="1" applyFont="1" applyBorder="1" applyAlignment="1">
      <alignment horizontal="left" wrapText="1"/>
    </xf>
    <xf numFmtId="4" fontId="5" fillId="0" borderId="1" xfId="0" applyNumberFormat="1" applyFont="1" applyFill="1" applyBorder="1" applyAlignment="1">
      <alignment horizontal="center"/>
    </xf>
    <xf numFmtId="4" fontId="5" fillId="0" borderId="1" xfId="0" quotePrefix="1" applyNumberFormat="1" applyFont="1" applyFill="1" applyBorder="1" applyAlignment="1">
      <alignment horizontal="center"/>
    </xf>
    <xf numFmtId="10" fontId="5" fillId="0" borderId="1" xfId="4" applyNumberFormat="1" applyFont="1" applyFill="1" applyBorder="1" applyAlignment="1">
      <alignment horizontal="center"/>
    </xf>
    <xf numFmtId="4" fontId="6" fillId="3" borderId="2" xfId="0" applyNumberFormat="1" applyFont="1" applyFill="1" applyBorder="1" applyAlignment="1">
      <alignment horizontal="center"/>
    </xf>
    <xf numFmtId="39" fontId="5" fillId="3" borderId="1" xfId="6" quotePrefix="1" applyNumberFormat="1" applyFont="1" applyFill="1" applyBorder="1" applyAlignment="1">
      <alignment horizontal="center"/>
    </xf>
    <xf numFmtId="10" fontId="5" fillId="3" borderId="1" xfId="4" applyNumberFormat="1" applyFont="1" applyFill="1" applyBorder="1" applyAlignment="1">
      <alignment horizontal="center"/>
    </xf>
    <xf numFmtId="49" fontId="2" fillId="0" borderId="0" xfId="0" applyNumberFormat="1" applyFont="1" applyAlignment="1"/>
    <xf numFmtId="17" fontId="2" fillId="0" borderId="0" xfId="0" applyNumberFormat="1" applyFont="1" applyAlignment="1">
      <alignment horizontal="left" wrapText="1"/>
    </xf>
    <xf numFmtId="0" fontId="34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center" wrapText="1"/>
    </xf>
    <xf numFmtId="177" fontId="6" fillId="0" borderId="1" xfId="6" applyFont="1" applyFill="1" applyBorder="1" applyAlignment="1">
      <alignment horizontal="center" vertical="center" wrapText="1"/>
    </xf>
    <xf numFmtId="2" fontId="34" fillId="0" borderId="1" xfId="0" applyNumberFormat="1" applyFont="1" applyFill="1" applyBorder="1" applyAlignment="1">
      <alignment vertical="center" wrapText="1"/>
    </xf>
    <xf numFmtId="177" fontId="6" fillId="0" borderId="1" xfId="6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4" fontId="36" fillId="0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0" xfId="0" applyFont="1" applyBorder="1"/>
    <xf numFmtId="0" fontId="2" fillId="0" borderId="0" xfId="0" applyFont="1" applyBorder="1"/>
    <xf numFmtId="0" fontId="6" fillId="0" borderId="0" xfId="0" applyFont="1" applyFill="1" applyBorder="1"/>
    <xf numFmtId="0" fontId="2" fillId="0" borderId="0" xfId="2" applyAlignment="1">
      <alignment vertical="center"/>
    </xf>
    <xf numFmtId="0" fontId="18" fillId="0" borderId="0" xfId="2" applyFont="1" applyAlignment="1">
      <alignment horizontal="right" vertical="center"/>
    </xf>
    <xf numFmtId="0" fontId="17" fillId="0" borderId="0" xfId="2" applyFont="1" applyAlignment="1">
      <alignment vertical="center"/>
    </xf>
    <xf numFmtId="0" fontId="19" fillId="0" borderId="0" xfId="2" applyFont="1" applyFill="1" applyBorder="1" applyAlignment="1">
      <alignment horizontal="center" vertical="center"/>
    </xf>
    <xf numFmtId="0" fontId="20" fillId="0" borderId="0" xfId="2" applyFont="1" applyAlignment="1">
      <alignment horizontal="left" vertical="center" wrapText="1"/>
    </xf>
    <xf numFmtId="0" fontId="2" fillId="0" borderId="0" xfId="2"/>
    <xf numFmtId="0" fontId="20" fillId="0" borderId="0" xfId="2" applyFont="1"/>
    <xf numFmtId="49" fontId="20" fillId="0" borderId="0" xfId="2" applyNumberFormat="1" applyFont="1" applyAlignment="1">
      <alignment horizontal="center"/>
    </xf>
    <xf numFmtId="0" fontId="21" fillId="0" borderId="0" xfId="2" applyFont="1"/>
    <xf numFmtId="49" fontId="19" fillId="0" borderId="0" xfId="2" applyNumberFormat="1" applyFont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20" fillId="0" borderId="0" xfId="2" applyFont="1" applyFill="1" applyBorder="1" applyAlignment="1">
      <alignment horizontal="center" vertical="center"/>
    </xf>
    <xf numFmtId="0" fontId="20" fillId="0" borderId="0" xfId="2" applyFont="1" applyBorder="1" applyAlignment="1">
      <alignment vertical="center" wrapText="1"/>
    </xf>
    <xf numFmtId="0" fontId="20" fillId="0" borderId="0" xfId="2" applyFont="1" applyBorder="1" applyAlignment="1">
      <alignment horizontal="center" vertical="center"/>
    </xf>
    <xf numFmtId="2" fontId="20" fillId="0" borderId="0" xfId="2" applyNumberFormat="1" applyFont="1" applyBorder="1" applyAlignment="1">
      <alignment horizontal="center" vertical="center"/>
    </xf>
    <xf numFmtId="0" fontId="20" fillId="2" borderId="0" xfId="2" applyFont="1" applyFill="1" applyBorder="1" applyAlignment="1">
      <alignment vertical="center" wrapText="1"/>
    </xf>
    <xf numFmtId="49" fontId="20" fillId="0" borderId="0" xfId="2" applyNumberFormat="1" applyFont="1" applyBorder="1" applyAlignment="1">
      <alignment horizontal="center" vertical="center"/>
    </xf>
    <xf numFmtId="0" fontId="2" fillId="0" borderId="0" xfId="2" applyFont="1" applyAlignment="1">
      <alignment vertical="center"/>
    </xf>
    <xf numFmtId="0" fontId="22" fillId="0" borderId="0" xfId="2" applyFont="1"/>
    <xf numFmtId="0" fontId="20" fillId="0" borderId="0" xfId="2" applyFont="1" applyAlignment="1">
      <alignment vertical="center"/>
    </xf>
    <xf numFmtId="49" fontId="20" fillId="0" borderId="0" xfId="2" applyNumberFormat="1" applyFont="1" applyAlignment="1">
      <alignment vertical="center"/>
    </xf>
    <xf numFmtId="0" fontId="20" fillId="0" borderId="0" xfId="2" applyFont="1" applyAlignment="1">
      <alignment vertical="center" wrapText="1"/>
    </xf>
    <xf numFmtId="0" fontId="20" fillId="0" borderId="0" xfId="2" applyFont="1" applyFill="1" applyBorder="1" applyAlignment="1">
      <alignment vertical="center"/>
    </xf>
    <xf numFmtId="2" fontId="20" fillId="0" borderId="0" xfId="2" applyNumberFormat="1" applyFont="1" applyAlignment="1">
      <alignment vertical="center"/>
    </xf>
    <xf numFmtId="0" fontId="20" fillId="0" borderId="0" xfId="2" applyFont="1" applyAlignment="1">
      <alignment horizontal="center"/>
    </xf>
    <xf numFmtId="49" fontId="20" fillId="0" borderId="0" xfId="2" applyNumberFormat="1" applyFont="1" applyAlignment="1">
      <alignment horizontal="center" vertical="center"/>
    </xf>
    <xf numFmtId="0" fontId="20" fillId="0" borderId="0" xfId="2" applyFont="1" applyAlignment="1">
      <alignment horizontal="justify" vertical="center" wrapText="1"/>
    </xf>
    <xf numFmtId="0" fontId="20" fillId="0" borderId="0" xfId="2" applyFont="1" applyFill="1" applyBorder="1" applyAlignment="1">
      <alignment horizontal="center"/>
    </xf>
    <xf numFmtId="2" fontId="19" fillId="0" borderId="0" xfId="2" applyNumberFormat="1" applyFont="1" applyAlignment="1">
      <alignment horizontal="center" vertical="center"/>
    </xf>
    <xf numFmtId="177" fontId="19" fillId="0" borderId="0" xfId="7" applyFont="1"/>
    <xf numFmtId="0" fontId="23" fillId="0" borderId="0" xfId="2" applyFont="1" applyAlignment="1">
      <alignment horizontal="center" vertical="center"/>
    </xf>
    <xf numFmtId="49" fontId="23" fillId="0" borderId="0" xfId="2" applyNumberFormat="1" applyFont="1" applyAlignment="1">
      <alignment horizontal="center" vertical="center"/>
    </xf>
    <xf numFmtId="0" fontId="23" fillId="0" borderId="0" xfId="2" applyFont="1" applyAlignment="1">
      <alignment horizontal="justify" vertical="center" wrapText="1"/>
    </xf>
    <xf numFmtId="0" fontId="23" fillId="0" borderId="0" xfId="2" applyFont="1" applyFill="1" applyBorder="1" applyAlignment="1">
      <alignment horizontal="center"/>
    </xf>
    <xf numFmtId="2" fontId="23" fillId="0" borderId="0" xfId="2" applyNumberFormat="1" applyFont="1" applyAlignment="1">
      <alignment horizontal="center" vertical="center"/>
    </xf>
    <xf numFmtId="0" fontId="23" fillId="0" borderId="0" xfId="2" applyFont="1"/>
    <xf numFmtId="0" fontId="2" fillId="0" borderId="0" xfId="2" applyFont="1"/>
    <xf numFmtId="0" fontId="24" fillId="0" borderId="0" xfId="2" applyFont="1" applyAlignment="1">
      <alignment horizontal="center" vertical="center"/>
    </xf>
    <xf numFmtId="0" fontId="19" fillId="0" borderId="0" xfId="2" applyFont="1" applyAlignment="1">
      <alignment horizontal="center" vertical="center" wrapText="1"/>
    </xf>
    <xf numFmtId="0" fontId="20" fillId="0" borderId="0" xfId="2" applyFont="1" applyAlignment="1">
      <alignment horizontal="left" wrapText="1"/>
    </xf>
    <xf numFmtId="49" fontId="20" fillId="0" borderId="0" xfId="2" applyNumberFormat="1" applyFont="1" applyBorder="1" applyAlignment="1">
      <alignment horizontal="center"/>
    </xf>
    <xf numFmtId="0" fontId="20" fillId="0" borderId="0" xfId="2" applyFont="1" applyFill="1" applyBorder="1" applyAlignment="1">
      <alignment horizontal="left"/>
    </xf>
    <xf numFmtId="0" fontId="20" fillId="0" borderId="0" xfId="2" applyFont="1" applyBorder="1" applyAlignment="1">
      <alignment horizontal="center"/>
    </xf>
    <xf numFmtId="2" fontId="20" fillId="0" borderId="0" xfId="2" applyNumberFormat="1" applyFont="1" applyBorder="1" applyAlignment="1">
      <alignment horizontal="center"/>
    </xf>
    <xf numFmtId="0" fontId="20" fillId="0" borderId="0" xfId="2" applyFont="1" applyAlignment="1">
      <alignment horizontal="center" vertical="center"/>
    </xf>
    <xf numFmtId="2" fontId="20" fillId="0" borderId="0" xfId="2" applyNumberFormat="1" applyFont="1" applyAlignment="1">
      <alignment horizontal="center" vertical="center"/>
    </xf>
    <xf numFmtId="0" fontId="20" fillId="0" borderId="0" xfId="2" applyFont="1" applyFill="1" applyBorder="1" applyAlignment="1">
      <alignment horizontal="justify" vertical="center" wrapText="1"/>
    </xf>
    <xf numFmtId="4" fontId="20" fillId="0" borderId="0" xfId="2" applyNumberFormat="1" applyFont="1" applyFill="1" applyBorder="1" applyAlignment="1">
      <alignment horizontal="justify" vertical="center" wrapText="1"/>
    </xf>
    <xf numFmtId="2" fontId="20" fillId="0" borderId="0" xfId="2" applyNumberFormat="1" applyFont="1" applyAlignment="1">
      <alignment horizontal="center"/>
    </xf>
    <xf numFmtId="2" fontId="20" fillId="0" borderId="0" xfId="2" applyNumberFormat="1" applyFont="1"/>
    <xf numFmtId="0" fontId="20" fillId="0" borderId="0" xfId="2" applyFont="1" applyAlignment="1">
      <alignment horizontal="right" vertical="center"/>
    </xf>
    <xf numFmtId="2" fontId="19" fillId="0" borderId="0" xfId="2" applyNumberFormat="1" applyFont="1" applyAlignment="1">
      <alignment horizontal="right" vertical="center"/>
    </xf>
    <xf numFmtId="177" fontId="19" fillId="0" borderId="0" xfId="7" applyFont="1" applyAlignment="1">
      <alignment vertical="center"/>
    </xf>
    <xf numFmtId="0" fontId="20" fillId="0" borderId="0" xfId="2" applyFont="1" applyAlignment="1">
      <alignment horizontal="right"/>
    </xf>
    <xf numFmtId="0" fontId="23" fillId="0" borderId="0" xfId="2" applyFont="1" applyBorder="1" applyAlignment="1">
      <alignment horizontal="center" vertical="center"/>
    </xf>
    <xf numFmtId="49" fontId="23" fillId="0" borderId="0" xfId="2" applyNumberFormat="1" applyFont="1" applyBorder="1" applyAlignment="1">
      <alignment horizontal="center" vertical="center"/>
    </xf>
    <xf numFmtId="0" fontId="23" fillId="0" borderId="0" xfId="2" applyFont="1" applyBorder="1" applyAlignment="1">
      <alignment horizontal="justify" vertical="center" wrapText="1"/>
    </xf>
    <xf numFmtId="2" fontId="23" fillId="0" borderId="0" xfId="2" applyNumberFormat="1" applyFont="1" applyBorder="1" applyAlignment="1">
      <alignment horizontal="center" vertical="center"/>
    </xf>
    <xf numFmtId="0" fontId="23" fillId="0" borderId="0" xfId="2" applyFont="1" applyBorder="1" applyAlignment="1">
      <alignment horizontal="center"/>
    </xf>
    <xf numFmtId="49" fontId="23" fillId="0" borderId="0" xfId="2" applyNumberFormat="1" applyFont="1" applyBorder="1" applyAlignment="1">
      <alignment horizontal="center"/>
    </xf>
    <xf numFmtId="0" fontId="23" fillId="0" borderId="0" xfId="2" applyFont="1" applyBorder="1" applyAlignment="1">
      <alignment horizontal="left"/>
    </xf>
    <xf numFmtId="2" fontId="23" fillId="0" borderId="0" xfId="2" applyNumberFormat="1" applyFont="1" applyBorder="1" applyAlignment="1">
      <alignment horizontal="center"/>
    </xf>
    <xf numFmtId="0" fontId="23" fillId="0" borderId="0" xfId="2" applyFont="1" applyBorder="1" applyAlignment="1">
      <alignment horizontal="left" vertical="center" wrapText="1"/>
    </xf>
    <xf numFmtId="4" fontId="23" fillId="0" borderId="0" xfId="2" applyNumberFormat="1" applyFont="1" applyBorder="1" applyAlignment="1">
      <alignment horizontal="center"/>
    </xf>
    <xf numFmtId="0" fontId="23" fillId="0" borderId="0" xfId="2" applyFont="1" applyBorder="1" applyAlignment="1">
      <alignment horizontal="justify" wrapText="1"/>
    </xf>
    <xf numFmtId="4" fontId="23" fillId="0" borderId="0" xfId="2" applyNumberFormat="1" applyFont="1" applyBorder="1" applyAlignment="1">
      <alignment horizontal="justify" vertical="center" wrapText="1"/>
    </xf>
    <xf numFmtId="0" fontId="25" fillId="0" borderId="0" xfId="2" applyFont="1" applyAlignment="1">
      <alignment horizontal="center" vertical="center"/>
    </xf>
    <xf numFmtId="49" fontId="25" fillId="0" borderId="0" xfId="2" applyNumberFormat="1" applyFont="1" applyAlignment="1">
      <alignment horizontal="center" vertical="center"/>
    </xf>
    <xf numFmtId="0" fontId="25" fillId="0" borderId="0" xfId="2" applyFont="1" applyAlignment="1">
      <alignment horizontal="justify" vertical="center" wrapText="1"/>
    </xf>
    <xf numFmtId="2" fontId="25" fillId="0" borderId="0" xfId="2" applyNumberFormat="1" applyFont="1" applyAlignment="1">
      <alignment horizontal="center" vertical="center"/>
    </xf>
    <xf numFmtId="4" fontId="20" fillId="0" borderId="0" xfId="2" applyNumberFormat="1" applyFont="1" applyAlignment="1">
      <alignment horizontal="justify" vertical="center" wrapText="1"/>
    </xf>
    <xf numFmtId="0" fontId="21" fillId="0" borderId="0" xfId="2" applyFont="1" applyAlignment="1">
      <alignment vertical="center"/>
    </xf>
    <xf numFmtId="0" fontId="19" fillId="0" borderId="0" xfId="2" applyFont="1" applyAlignment="1">
      <alignment horizontal="left" vertical="center"/>
    </xf>
    <xf numFmtId="0" fontId="20" fillId="0" borderId="0" xfId="2" applyFont="1" applyBorder="1" applyAlignment="1">
      <alignment horizontal="justify" vertical="center" wrapText="1"/>
    </xf>
    <xf numFmtId="4" fontId="20" fillId="0" borderId="0" xfId="2" applyNumberFormat="1" applyFont="1" applyBorder="1" applyAlignment="1">
      <alignment horizontal="center" vertical="center"/>
    </xf>
    <xf numFmtId="0" fontId="20" fillId="0" borderId="0" xfId="2" applyFont="1" applyBorder="1" applyAlignment="1">
      <alignment horizontal="center" vertical="center" wrapText="1"/>
    </xf>
    <xf numFmtId="0" fontId="20" fillId="0" borderId="0" xfId="2" applyFont="1" applyFill="1"/>
    <xf numFmtId="2" fontId="20" fillId="0" borderId="0" xfId="2" applyNumberFormat="1" applyFont="1" applyBorder="1" applyAlignment="1">
      <alignment horizontal="center" vertical="center" wrapText="1"/>
    </xf>
    <xf numFmtId="0" fontId="20" fillId="0" borderId="0" xfId="2" applyFont="1" applyFill="1" applyBorder="1" applyAlignment="1">
      <alignment horizontal="left" vertical="center" wrapText="1"/>
    </xf>
    <xf numFmtId="177" fontId="25" fillId="0" borderId="0" xfId="7" applyFont="1"/>
    <xf numFmtId="0" fontId="19" fillId="0" borderId="0" xfId="2" applyFont="1" applyAlignment="1">
      <alignment vertical="center"/>
    </xf>
    <xf numFmtId="49" fontId="20" fillId="0" borderId="0" xfId="2" applyNumberFormat="1" applyFont="1" applyFill="1" applyBorder="1" applyAlignment="1">
      <alignment horizontal="center" vertical="center"/>
    </xf>
    <xf numFmtId="0" fontId="20" fillId="0" borderId="0" xfId="2" applyFont="1" applyFill="1" applyAlignment="1">
      <alignment vertical="center" wrapText="1"/>
    </xf>
    <xf numFmtId="0" fontId="20" fillId="0" borderId="0" xfId="2" applyFont="1" applyBorder="1" applyAlignment="1">
      <alignment horizontal="left" vertical="center" wrapText="1"/>
    </xf>
    <xf numFmtId="2" fontId="20" fillId="0" borderId="0" xfId="2" applyNumberFormat="1" applyFont="1" applyFill="1" applyBorder="1" applyAlignment="1">
      <alignment horizontal="center" vertical="center"/>
    </xf>
    <xf numFmtId="4" fontId="26" fillId="0" borderId="0" xfId="3" applyNumberFormat="1" applyFont="1" applyFill="1" applyBorder="1" applyAlignment="1" applyProtection="1">
      <alignment horizontal="center" vertical="center"/>
    </xf>
    <xf numFmtId="0" fontId="20" fillId="0" borderId="0" xfId="2" applyFont="1" applyFill="1" applyBorder="1" applyAlignment="1">
      <alignment vertical="center" wrapText="1"/>
    </xf>
    <xf numFmtId="0" fontId="37" fillId="0" borderId="0" xfId="2" applyFont="1" applyBorder="1" applyAlignment="1">
      <alignment vertical="center" wrapText="1"/>
    </xf>
    <xf numFmtId="0" fontId="10" fillId="0" borderId="0" xfId="2" applyFont="1" applyAlignment="1">
      <alignment horizontal="center" vertical="center"/>
    </xf>
    <xf numFmtId="0" fontId="28" fillId="0" borderId="0" xfId="3" applyFont="1" applyFill="1" applyBorder="1" applyAlignment="1" applyProtection="1">
      <alignment horizontal="center" vertical="center"/>
      <protection locked="0"/>
    </xf>
    <xf numFmtId="0" fontId="2" fillId="0" borderId="0" xfId="2" applyFill="1" applyBorder="1"/>
    <xf numFmtId="0" fontId="4" fillId="0" borderId="0" xfId="3" applyFont="1" applyFill="1" applyBorder="1" applyAlignment="1" applyProtection="1">
      <alignment horizontal="center" textRotation="90"/>
    </xf>
    <xf numFmtId="0" fontId="2" fillId="0" borderId="0" xfId="3" applyFont="1" applyFill="1" applyBorder="1" applyAlignment="1" applyProtection="1">
      <alignment horizontal="center"/>
    </xf>
    <xf numFmtId="0" fontId="29" fillId="0" borderId="0" xfId="3" applyFont="1" applyFill="1" applyBorder="1" applyAlignment="1" applyProtection="1">
      <alignment horizontal="center"/>
    </xf>
    <xf numFmtId="181" fontId="29" fillId="0" borderId="0" xfId="3" applyNumberFormat="1" applyFont="1" applyFill="1" applyBorder="1" applyAlignment="1" applyProtection="1">
      <alignment horizontal="center"/>
    </xf>
    <xf numFmtId="40" fontId="29" fillId="0" borderId="0" xfId="3" applyNumberFormat="1" applyFont="1" applyFill="1" applyBorder="1" applyAlignment="1" applyProtection="1">
      <alignment horizontal="center"/>
    </xf>
    <xf numFmtId="0" fontId="4" fillId="0" borderId="0" xfId="3" applyFont="1" applyFill="1" applyBorder="1" applyAlignment="1" applyProtection="1">
      <alignment vertical="center" textRotation="90"/>
    </xf>
    <xf numFmtId="0" fontId="2" fillId="0" borderId="0" xfId="3" applyFont="1" applyFill="1" applyBorder="1" applyAlignment="1" applyProtection="1">
      <alignment horizontal="center" vertical="center"/>
    </xf>
    <xf numFmtId="4" fontId="26" fillId="0" borderId="0" xfId="3" applyNumberFormat="1" applyFont="1" applyFill="1" applyBorder="1" applyAlignment="1" applyProtection="1">
      <alignment horizontal="left" wrapText="1"/>
      <protection locked="0"/>
    </xf>
    <xf numFmtId="190" fontId="26" fillId="0" borderId="0" xfId="5" applyNumberFormat="1" applyFont="1" applyFill="1" applyBorder="1" applyAlignment="1" applyProtection="1">
      <alignment horizontal="center"/>
      <protection locked="0"/>
    </xf>
    <xf numFmtId="4" fontId="26" fillId="0" borderId="0" xfId="3" applyNumberFormat="1" applyFont="1" applyFill="1" applyBorder="1" applyAlignment="1" applyProtection="1">
      <alignment horizontal="center"/>
      <protection locked="0"/>
    </xf>
    <xf numFmtId="4" fontId="26" fillId="0" borderId="0" xfId="5" applyNumberFormat="1" applyFont="1" applyFill="1" applyBorder="1" applyAlignment="1" applyProtection="1">
      <alignment horizontal="center"/>
      <protection locked="0"/>
    </xf>
    <xf numFmtId="4" fontId="26" fillId="0" borderId="0" xfId="5" applyNumberFormat="1" applyFont="1" applyFill="1" applyBorder="1" applyAlignment="1" applyProtection="1">
      <alignment horizontal="center"/>
      <protection hidden="1"/>
    </xf>
    <xf numFmtId="4" fontId="26" fillId="0" borderId="0" xfId="5" applyNumberFormat="1" applyFont="1" applyFill="1" applyBorder="1" applyAlignment="1" applyProtection="1">
      <protection hidden="1"/>
    </xf>
    <xf numFmtId="4" fontId="26" fillId="0" borderId="0" xfId="5" applyNumberFormat="1" applyFont="1" applyFill="1" applyBorder="1" applyAlignment="1" applyProtection="1">
      <alignment horizontal="right"/>
      <protection locked="0"/>
    </xf>
    <xf numFmtId="4" fontId="26" fillId="0" borderId="0" xfId="3" applyNumberFormat="1" applyFont="1" applyFill="1" applyBorder="1" applyAlignment="1" applyProtection="1">
      <alignment wrapText="1"/>
      <protection locked="0"/>
    </xf>
    <xf numFmtId="0" fontId="2" fillId="0" borderId="0" xfId="2" applyFont="1" applyFill="1" applyBorder="1"/>
    <xf numFmtId="4" fontId="29" fillId="0" borderId="0" xfId="3" applyNumberFormat="1" applyFont="1" applyFill="1" applyBorder="1" applyAlignment="1" applyProtection="1">
      <alignment horizontal="center" wrapText="1"/>
    </xf>
    <xf numFmtId="4" fontId="29" fillId="0" borderId="0" xfId="3" applyNumberFormat="1" applyFont="1" applyFill="1" applyBorder="1" applyAlignment="1" applyProtection="1">
      <alignment horizontal="center"/>
    </xf>
    <xf numFmtId="4" fontId="29" fillId="0" borderId="0" xfId="5" applyNumberFormat="1" applyFont="1" applyFill="1" applyBorder="1" applyAlignment="1" applyProtection="1">
      <alignment horizontal="center"/>
    </xf>
    <xf numFmtId="4" fontId="29" fillId="0" borderId="0" xfId="5" applyNumberFormat="1" applyFont="1" applyFill="1" applyBorder="1" applyAlignment="1" applyProtection="1">
      <alignment horizontal="center"/>
      <protection hidden="1"/>
    </xf>
    <xf numFmtId="4" fontId="2" fillId="0" borderId="0" xfId="3" applyNumberFormat="1" applyFont="1" applyFill="1" applyBorder="1"/>
    <xf numFmtId="4" fontId="2" fillId="0" borderId="0" xfId="3" applyNumberFormat="1" applyFont="1" applyFill="1" applyBorder="1" applyAlignment="1">
      <alignment horizontal="center"/>
    </xf>
    <xf numFmtId="0" fontId="2" fillId="0" borderId="0" xfId="3" applyFont="1" applyFill="1" applyBorder="1" applyAlignment="1" applyProtection="1">
      <alignment horizontal="center" vertical="center" wrapText="1"/>
    </xf>
    <xf numFmtId="4" fontId="26" fillId="0" borderId="0" xfId="3" applyNumberFormat="1" applyFont="1" applyFill="1" applyBorder="1" applyAlignment="1" applyProtection="1">
      <alignment vertical="center" wrapText="1"/>
    </xf>
    <xf numFmtId="4" fontId="26" fillId="0" borderId="0" xfId="3" applyNumberFormat="1" applyFont="1" applyFill="1" applyBorder="1" applyAlignment="1" applyProtection="1">
      <alignment horizontal="center"/>
    </xf>
    <xf numFmtId="190" fontId="26" fillId="0" borderId="0" xfId="3" applyNumberFormat="1" applyFont="1" applyFill="1" applyBorder="1" applyAlignment="1" applyProtection="1">
      <alignment horizontal="center"/>
    </xf>
    <xf numFmtId="190" fontId="2" fillId="0" borderId="0" xfId="5" applyNumberFormat="1" applyFont="1" applyFill="1" applyBorder="1" applyAlignment="1" applyProtection="1">
      <alignment horizontal="center"/>
      <protection locked="0"/>
    </xf>
    <xf numFmtId="2" fontId="20" fillId="0" borderId="0" xfId="2" applyNumberFormat="1" applyFont="1" applyFill="1" applyBorder="1" applyAlignment="1">
      <alignment horizontal="center" vertical="center" wrapText="1"/>
    </xf>
    <xf numFmtId="4" fontId="26" fillId="0" borderId="0" xfId="3" applyNumberFormat="1" applyFont="1" applyFill="1" applyBorder="1" applyAlignment="1" applyProtection="1">
      <alignment horizontal="justify" vertical="center" wrapText="1"/>
    </xf>
    <xf numFmtId="4" fontId="2" fillId="0" borderId="0" xfId="5" applyNumberFormat="1" applyFont="1" applyFill="1" applyBorder="1" applyAlignment="1" applyProtection="1">
      <alignment horizontal="center"/>
      <protection locked="0"/>
    </xf>
    <xf numFmtId="177" fontId="19" fillId="0" borderId="0" xfId="7" applyFont="1" applyAlignment="1">
      <alignment horizontal="center"/>
    </xf>
    <xf numFmtId="0" fontId="19" fillId="0" borderId="0" xfId="2" applyFont="1"/>
    <xf numFmtId="0" fontId="20" fillId="0" borderId="0" xfId="2" applyFont="1" applyFill="1" applyAlignment="1">
      <alignment wrapText="1"/>
    </xf>
    <xf numFmtId="190" fontId="10" fillId="0" borderId="0" xfId="5" applyNumberFormat="1" applyFont="1" applyFill="1" applyBorder="1" applyAlignment="1" applyProtection="1">
      <alignment horizontal="center"/>
      <protection locked="0"/>
    </xf>
    <xf numFmtId="190" fontId="30" fillId="0" borderId="0" xfId="3" applyNumberFormat="1" applyFont="1" applyFill="1" applyBorder="1" applyAlignment="1" applyProtection="1">
      <alignment horizontal="center"/>
    </xf>
    <xf numFmtId="4" fontId="30" fillId="0" borderId="0" xfId="3" applyNumberFormat="1" applyFont="1" applyFill="1" applyBorder="1" applyAlignment="1" applyProtection="1">
      <alignment horizontal="center"/>
    </xf>
    <xf numFmtId="4" fontId="10" fillId="0" borderId="0" xfId="3" applyNumberFormat="1" applyFont="1" applyBorder="1" applyAlignment="1">
      <alignment horizontal="center"/>
    </xf>
    <xf numFmtId="0" fontId="2" fillId="5" borderId="0" xfId="2" applyFill="1"/>
    <xf numFmtId="177" fontId="20" fillId="0" borderId="0" xfId="7" applyFont="1" applyAlignment="1">
      <alignment vertical="center"/>
    </xf>
    <xf numFmtId="4" fontId="20" fillId="0" borderId="0" xfId="2" applyNumberFormat="1" applyFont="1" applyAlignment="1">
      <alignment horizontal="center"/>
    </xf>
    <xf numFmtId="0" fontId="2" fillId="0" borderId="0" xfId="2" applyFill="1"/>
    <xf numFmtId="190" fontId="2" fillId="0" borderId="0" xfId="5" applyNumberFormat="1" applyFont="1" applyFill="1" applyBorder="1" applyAlignment="1" applyProtection="1">
      <alignment horizontal="center" vertical="center"/>
      <protection locked="0"/>
    </xf>
    <xf numFmtId="190" fontId="26" fillId="0" borderId="0" xfId="3" applyNumberFormat="1" applyFont="1" applyFill="1" applyBorder="1" applyAlignment="1" applyProtection="1">
      <alignment horizontal="center" vertical="center"/>
    </xf>
    <xf numFmtId="190" fontId="20" fillId="0" borderId="0" xfId="5" applyNumberFormat="1" applyFont="1" applyFill="1" applyBorder="1" applyAlignment="1" applyProtection="1">
      <alignment horizontal="center" vertical="center"/>
      <protection locked="0"/>
    </xf>
    <xf numFmtId="190" fontId="31" fillId="0" borderId="0" xfId="5" applyNumberFormat="1" applyFont="1" applyFill="1" applyBorder="1" applyAlignment="1" applyProtection="1">
      <alignment horizontal="center" vertical="center"/>
      <protection locked="0"/>
    </xf>
    <xf numFmtId="4" fontId="20" fillId="0" borderId="0" xfId="3" applyNumberFormat="1" applyFont="1" applyBorder="1" applyAlignment="1">
      <alignment horizontal="center" vertical="center"/>
    </xf>
    <xf numFmtId="190" fontId="31" fillId="0" borderId="0" xfId="3" applyNumberFormat="1" applyFont="1" applyFill="1" applyBorder="1" applyAlignment="1" applyProtection="1">
      <alignment horizontal="center" vertical="center"/>
    </xf>
    <xf numFmtId="0" fontId="20" fillId="0" borderId="0" xfId="2" applyFont="1" applyFill="1" applyBorder="1" applyAlignment="1">
      <alignment horizontal="center" vertical="center" wrapText="1"/>
    </xf>
    <xf numFmtId="49" fontId="20" fillId="5" borderId="0" xfId="2" applyNumberFormat="1" applyFont="1" applyFill="1" applyBorder="1" applyAlignment="1">
      <alignment horizontal="center" vertical="center"/>
    </xf>
    <xf numFmtId="4" fontId="31" fillId="0" borderId="0" xfId="3" applyNumberFormat="1" applyFont="1" applyFill="1" applyBorder="1" applyAlignment="1" applyProtection="1">
      <alignment horizontal="center" vertical="center"/>
    </xf>
    <xf numFmtId="4" fontId="2" fillId="0" borderId="0" xfId="3" applyNumberFormat="1" applyFont="1" applyBorder="1" applyAlignment="1">
      <alignment horizontal="center" vertical="center"/>
    </xf>
    <xf numFmtId="177" fontId="20" fillId="0" borderId="0" xfId="7" applyFont="1" applyBorder="1" applyAlignment="1">
      <alignment horizontal="center" vertical="center" wrapText="1"/>
    </xf>
    <xf numFmtId="0" fontId="28" fillId="0" borderId="0" xfId="3" applyFont="1" applyBorder="1" applyAlignment="1" applyProtection="1">
      <alignment horizontal="center" vertical="center"/>
      <protection locked="0"/>
    </xf>
    <xf numFmtId="0" fontId="4" fillId="0" borderId="0" xfId="3" applyFont="1" applyFill="1" applyBorder="1" applyAlignment="1" applyProtection="1">
      <alignment vertical="center" textRotation="90" wrapText="1"/>
    </xf>
    <xf numFmtId="0" fontId="10" fillId="0" borderId="0" xfId="2" applyFont="1" applyAlignment="1">
      <alignment vertical="center"/>
    </xf>
    <xf numFmtId="0" fontId="19" fillId="0" borderId="0" xfId="2" applyFont="1" applyAlignment="1">
      <alignment horizontal="justify" vertical="center" wrapText="1"/>
    </xf>
    <xf numFmtId="0" fontId="10" fillId="0" borderId="0" xfId="2" applyFont="1"/>
    <xf numFmtId="177" fontId="20" fillId="0" borderId="0" xfId="7" applyFont="1" applyAlignment="1">
      <alignment horizontal="center" vertical="center"/>
    </xf>
    <xf numFmtId="49" fontId="20" fillId="0" borderId="0" xfId="2" applyNumberFormat="1" applyFont="1" applyFill="1" applyAlignment="1">
      <alignment horizontal="center" vertical="center"/>
    </xf>
    <xf numFmtId="0" fontId="20" fillId="0" borderId="0" xfId="2" applyFont="1" applyFill="1" applyAlignment="1">
      <alignment horizontal="center" vertical="center"/>
    </xf>
    <xf numFmtId="2" fontId="20" fillId="0" borderId="0" xfId="2" applyNumberFormat="1" applyFont="1" applyFill="1" applyAlignment="1">
      <alignment horizontal="center" vertical="center"/>
    </xf>
    <xf numFmtId="0" fontId="20" fillId="0" borderId="0" xfId="2" applyFont="1" applyFill="1" applyAlignment="1">
      <alignment horizontal="justify" vertical="center" wrapText="1"/>
    </xf>
    <xf numFmtId="0" fontId="10" fillId="0" borderId="0" xfId="2" applyFont="1" applyAlignment="1">
      <alignment horizontal="justify" vertical="center"/>
    </xf>
    <xf numFmtId="0" fontId="10" fillId="0" borderId="0" xfId="2" applyFont="1" applyFill="1"/>
    <xf numFmtId="0" fontId="20" fillId="0" borderId="0" xfId="2" applyFont="1" applyFill="1" applyAlignment="1">
      <alignment vertical="center"/>
    </xf>
    <xf numFmtId="0" fontId="19" fillId="0" borderId="0" xfId="2" applyFont="1" applyAlignment="1">
      <alignment horizontal="right" vertical="center"/>
    </xf>
    <xf numFmtId="177" fontId="20" fillId="0" borderId="0" xfId="7" applyFont="1" applyFill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0" xfId="2" applyNumberFormat="1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left" vertical="center" wrapText="1"/>
    </xf>
    <xf numFmtId="0" fontId="10" fillId="0" borderId="0" xfId="2" applyNumberFormat="1" applyFont="1" applyFill="1" applyBorder="1" applyAlignment="1">
      <alignment horizontal="center" vertical="center" wrapText="1"/>
    </xf>
    <xf numFmtId="4" fontId="9" fillId="0" borderId="0" xfId="2" applyNumberFormat="1" applyFont="1" applyFill="1" applyBorder="1" applyAlignment="1">
      <alignment horizontal="right" vertical="center" wrapText="1"/>
    </xf>
    <xf numFmtId="177" fontId="9" fillId="0" borderId="0" xfId="7" applyFont="1" applyFill="1" applyBorder="1" applyAlignment="1">
      <alignment horizontal="right" vertical="center" wrapText="1"/>
    </xf>
    <xf numFmtId="0" fontId="9" fillId="0" borderId="0" xfId="2" applyFont="1" applyBorder="1" applyAlignment="1">
      <alignment horizontal="center" vertical="top"/>
    </xf>
    <xf numFmtId="0" fontId="9" fillId="0" borderId="0" xfId="2" applyNumberFormat="1" applyFont="1" applyFill="1" applyBorder="1" applyAlignment="1">
      <alignment horizontal="center" vertical="top" wrapText="1"/>
    </xf>
    <xf numFmtId="0" fontId="9" fillId="2" borderId="0" xfId="2" applyFont="1" applyFill="1" applyBorder="1" applyAlignment="1">
      <alignment vertical="top" wrapText="1"/>
    </xf>
    <xf numFmtId="0" fontId="10" fillId="0" borderId="0" xfId="2" applyFont="1" applyBorder="1"/>
    <xf numFmtId="0" fontId="10" fillId="0" borderId="0" xfId="2" applyNumberFormat="1" applyFont="1" applyBorder="1" applyAlignment="1">
      <alignment horizontal="center" vertical="top" wrapText="1"/>
    </xf>
    <xf numFmtId="177" fontId="9" fillId="2" borderId="0" xfId="7" applyFont="1" applyFill="1" applyBorder="1" applyAlignment="1">
      <alignment horizontal="right" vertical="top" wrapText="1"/>
    </xf>
    <xf numFmtId="0" fontId="9" fillId="0" borderId="0" xfId="2" applyFont="1" applyFill="1" applyBorder="1" applyAlignment="1">
      <alignment horizontal="center" vertical="top"/>
    </xf>
    <xf numFmtId="0" fontId="9" fillId="2" borderId="0" xfId="2" applyFont="1" applyFill="1" applyBorder="1" applyAlignment="1">
      <alignment horizontal="center" vertical="top" wrapText="1"/>
    </xf>
    <xf numFmtId="4" fontId="9" fillId="2" borderId="0" xfId="2" applyNumberFormat="1" applyFont="1" applyFill="1" applyBorder="1" applyAlignment="1">
      <alignment horizontal="right" vertical="top" wrapText="1"/>
    </xf>
    <xf numFmtId="0" fontId="9" fillId="0" borderId="0" xfId="2" applyFont="1" applyFill="1" applyBorder="1" applyAlignment="1">
      <alignment vertical="top" wrapText="1"/>
    </xf>
    <xf numFmtId="0" fontId="20" fillId="0" borderId="0" xfId="2" applyFont="1" applyFill="1" applyAlignment="1">
      <alignment horizontal="justify" vertical="center"/>
    </xf>
    <xf numFmtId="0" fontId="20" fillId="0" borderId="0" xfId="2" applyFont="1" applyFill="1" applyAlignment="1">
      <alignment horizontal="left" vertical="center" wrapText="1"/>
    </xf>
    <xf numFmtId="0" fontId="10" fillId="0" borderId="0" xfId="2" applyFont="1" applyAlignment="1">
      <alignment horizontal="center"/>
    </xf>
    <xf numFmtId="0" fontId="19" fillId="0" borderId="0" xfId="2" applyFont="1" applyAlignment="1">
      <alignment horizontal="center"/>
    </xf>
    <xf numFmtId="43" fontId="10" fillId="0" borderId="0" xfId="2" applyNumberFormat="1" applyFont="1" applyAlignment="1">
      <alignment horizontal="center"/>
    </xf>
    <xf numFmtId="0" fontId="37" fillId="0" borderId="0" xfId="2" applyFont="1" applyBorder="1" applyAlignment="1">
      <alignment wrapText="1"/>
    </xf>
    <xf numFmtId="0" fontId="20" fillId="0" borderId="0" xfId="2" applyFont="1" applyBorder="1"/>
    <xf numFmtId="0" fontId="20" fillId="0" borderId="0" xfId="2" applyFont="1" applyBorder="1" applyAlignment="1">
      <alignment wrapText="1"/>
    </xf>
    <xf numFmtId="0" fontId="24" fillId="0" borderId="0" xfId="2" applyFont="1" applyAlignment="1">
      <alignment horizontal="right" vertical="center"/>
    </xf>
    <xf numFmtId="0" fontId="24" fillId="0" borderId="0" xfId="2" applyFont="1" applyAlignment="1">
      <alignment vertical="center"/>
    </xf>
    <xf numFmtId="0" fontId="19" fillId="0" borderId="0" xfId="2" applyFont="1" applyAlignment="1">
      <alignment vertical="center" wrapText="1"/>
    </xf>
    <xf numFmtId="0" fontId="23" fillId="0" borderId="0" xfId="2" applyFont="1" applyAlignment="1">
      <alignment vertical="center" wrapText="1"/>
    </xf>
    <xf numFmtId="0" fontId="23" fillId="0" borderId="0" xfId="2" applyFont="1" applyAlignment="1">
      <alignment horizontal="center"/>
    </xf>
    <xf numFmtId="49" fontId="23" fillId="0" borderId="0" xfId="2" applyNumberFormat="1" applyFont="1" applyAlignment="1">
      <alignment horizontal="center"/>
    </xf>
    <xf numFmtId="4" fontId="23" fillId="0" borderId="0" xfId="2" applyNumberFormat="1" applyFont="1" applyAlignment="1">
      <alignment horizontal="center"/>
    </xf>
    <xf numFmtId="4" fontId="23" fillId="0" borderId="0" xfId="2" applyNumberFormat="1" applyFont="1" applyBorder="1" applyAlignment="1">
      <alignment horizontal="center" vertical="center"/>
    </xf>
    <xf numFmtId="0" fontId="2" fillId="0" borderId="0" xfId="2" applyFont="1" applyAlignment="1">
      <alignment vertical="center" wrapText="1"/>
    </xf>
    <xf numFmtId="0" fontId="21" fillId="0" borderId="0" xfId="2" applyFont="1" applyAlignment="1">
      <alignment vertical="center" wrapText="1"/>
    </xf>
    <xf numFmtId="49" fontId="20" fillId="0" borderId="0" xfId="2" applyNumberFormat="1" applyFont="1" applyAlignment="1">
      <alignment horizontal="center" vertical="center" wrapText="1"/>
    </xf>
    <xf numFmtId="43" fontId="21" fillId="0" borderId="0" xfId="2" applyNumberFormat="1" applyFont="1" applyAlignment="1">
      <alignment vertical="center" wrapText="1"/>
    </xf>
    <xf numFmtId="0" fontId="2" fillId="0" borderId="0" xfId="2" applyBorder="1"/>
    <xf numFmtId="4" fontId="2" fillId="0" borderId="0" xfId="3" applyNumberFormat="1" applyFont="1" applyBorder="1"/>
    <xf numFmtId="4" fontId="2" fillId="0" borderId="0" xfId="3" applyNumberFormat="1" applyFont="1" applyBorder="1" applyAlignment="1">
      <alignment horizontal="center"/>
    </xf>
    <xf numFmtId="4" fontId="20" fillId="0" borderId="0" xfId="2" applyNumberFormat="1" applyFont="1" applyAlignment="1">
      <alignment horizontal="center" vertical="center"/>
    </xf>
    <xf numFmtId="0" fontId="23" fillId="0" borderId="0" xfId="2" applyFont="1" applyBorder="1" applyAlignment="1">
      <alignment horizontal="center" vertical="center" wrapText="1"/>
    </xf>
    <xf numFmtId="2" fontId="23" fillId="0" borderId="0" xfId="2" applyNumberFormat="1" applyFont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/>
    </xf>
    <xf numFmtId="0" fontId="6" fillId="0" borderId="0" xfId="2" applyNumberFormat="1" applyFont="1" applyFill="1" applyBorder="1" applyAlignment="1">
      <alignment horizontal="center" vertical="top" wrapText="1"/>
    </xf>
    <xf numFmtId="0" fontId="6" fillId="0" borderId="0" xfId="2" applyFont="1" applyFill="1" applyBorder="1" applyAlignment="1">
      <alignment vertical="top" wrapText="1"/>
    </xf>
    <xf numFmtId="0" fontId="2" fillId="0" borderId="0" xfId="2" applyNumberFormat="1" applyFont="1" applyFill="1" applyBorder="1" applyAlignment="1">
      <alignment horizontal="center" vertical="top" wrapText="1"/>
    </xf>
    <xf numFmtId="177" fontId="6" fillId="0" borderId="0" xfId="7" applyFont="1" applyFill="1" applyBorder="1" applyAlignment="1">
      <alignment horizontal="right" vertical="top" wrapText="1"/>
    </xf>
    <xf numFmtId="0" fontId="6" fillId="0" borderId="0" xfId="2" applyFont="1" applyFill="1" applyBorder="1" applyAlignment="1">
      <alignment horizontal="center" vertical="top"/>
    </xf>
    <xf numFmtId="0" fontId="6" fillId="0" borderId="0" xfId="2" applyFont="1" applyFill="1" applyBorder="1" applyAlignment="1">
      <alignment horizontal="justify" vertical="top" wrapText="1"/>
    </xf>
    <xf numFmtId="177" fontId="6" fillId="0" borderId="0" xfId="7" applyFont="1" applyFill="1" applyBorder="1" applyAlignment="1">
      <alignment horizontal="center" vertical="top" wrapText="1"/>
    </xf>
    <xf numFmtId="4" fontId="6" fillId="0" borderId="0" xfId="2" applyNumberFormat="1" applyFont="1" applyFill="1" applyBorder="1" applyAlignment="1">
      <alignment horizontal="right" vertical="top" wrapText="1"/>
    </xf>
    <xf numFmtId="177" fontId="33" fillId="5" borderId="0" xfId="7" applyFont="1" applyFill="1" applyBorder="1" applyAlignment="1">
      <alignment horizontal="right" vertical="center"/>
    </xf>
    <xf numFmtId="177" fontId="33" fillId="0" borderId="0" xfId="7" applyFont="1" applyFill="1" applyBorder="1" applyAlignment="1">
      <alignment horizontal="right" vertical="center"/>
    </xf>
    <xf numFmtId="0" fontId="2" fillId="0" borderId="0" xfId="2" applyFont="1" applyBorder="1"/>
    <xf numFmtId="43" fontId="6" fillId="0" borderId="0" xfId="0" applyNumberFormat="1" applyFont="1"/>
    <xf numFmtId="2" fontId="6" fillId="0" borderId="0" xfId="0" applyNumberFormat="1" applyFont="1"/>
    <xf numFmtId="2" fontId="6" fillId="0" borderId="0" xfId="0" applyNumberFormat="1" applyFont="1" applyBorder="1"/>
    <xf numFmtId="0" fontId="2" fillId="0" borderId="1" xfId="0" applyFont="1" applyBorder="1" applyAlignment="1">
      <alignment vertical="top" wrapText="1"/>
    </xf>
    <xf numFmtId="49" fontId="2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77" fontId="2" fillId="0" borderId="1" xfId="6" applyFont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right" vertical="center" wrapText="1"/>
    </xf>
    <xf numFmtId="177" fontId="2" fillId="3" borderId="1" xfId="6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right" vertical="center" wrapText="1"/>
    </xf>
    <xf numFmtId="177" fontId="7" fillId="2" borderId="1" xfId="6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justify" vertical="center" wrapText="1"/>
    </xf>
    <xf numFmtId="177" fontId="6" fillId="3" borderId="1" xfId="6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justify" vertical="center"/>
    </xf>
    <xf numFmtId="0" fontId="2" fillId="4" borderId="1" xfId="0" applyNumberFormat="1" applyFont="1" applyFill="1" applyBorder="1" applyAlignment="1">
      <alignment horizontal="center" vertical="center" wrapText="1"/>
    </xf>
    <xf numFmtId="177" fontId="6" fillId="4" borderId="1" xfId="6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77" fontId="6" fillId="0" borderId="1" xfId="6" applyFont="1" applyBorder="1" applyAlignment="1">
      <alignment horizontal="center" vertical="center"/>
    </xf>
    <xf numFmtId="4" fontId="2" fillId="0" borderId="1" xfId="0" applyNumberFormat="1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49" fontId="4" fillId="0" borderId="1" xfId="0" applyNumberFormat="1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 wrapText="1"/>
    </xf>
    <xf numFmtId="177" fontId="4" fillId="0" borderId="1" xfId="1" applyNumberFormat="1" applyFont="1" applyBorder="1" applyAlignment="1">
      <alignment horizontal="center" vertical="center" wrapText="1"/>
    </xf>
    <xf numFmtId="177" fontId="4" fillId="0" borderId="1" xfId="6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right" vertical="center"/>
    </xf>
    <xf numFmtId="0" fontId="4" fillId="0" borderId="1" xfId="0" applyFont="1" applyBorder="1" applyAlignment="1">
      <alignment horizontal="right" vertical="top" wrapText="1"/>
    </xf>
    <xf numFmtId="0" fontId="34" fillId="0" borderId="0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  <xf numFmtId="2" fontId="2" fillId="0" borderId="5" xfId="0" applyNumberFormat="1" applyFont="1" applyFill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2" fontId="38" fillId="0" borderId="0" xfId="0" applyNumberFormat="1" applyFont="1" applyBorder="1" applyAlignment="1">
      <alignment horizontal="left" vertical="center"/>
    </xf>
    <xf numFmtId="2" fontId="38" fillId="0" borderId="8" xfId="0" applyNumberFormat="1" applyFont="1" applyBorder="1" applyAlignment="1">
      <alignment horizontal="left" vertical="center"/>
    </xf>
    <xf numFmtId="2" fontId="39" fillId="0" borderId="9" xfId="0" applyNumberFormat="1" applyFont="1" applyBorder="1" applyAlignment="1">
      <alignment horizontal="center" vertical="center"/>
    </xf>
    <xf numFmtId="2" fontId="39" fillId="0" borderId="10" xfId="0" applyNumberFormat="1" applyFont="1" applyBorder="1" applyAlignment="1">
      <alignment horizontal="center" vertical="center"/>
    </xf>
    <xf numFmtId="2" fontId="39" fillId="0" borderId="11" xfId="0" applyNumberFormat="1" applyFont="1" applyBorder="1" applyAlignment="1">
      <alignment horizontal="center" vertical="center"/>
    </xf>
    <xf numFmtId="2" fontId="39" fillId="0" borderId="1" xfId="0" applyNumberFormat="1" applyFont="1" applyBorder="1" applyAlignment="1">
      <alignment horizontal="center" vertical="center"/>
    </xf>
    <xf numFmtId="2" fontId="39" fillId="0" borderId="4" xfId="0" applyNumberFormat="1" applyFont="1" applyBorder="1" applyAlignment="1">
      <alignment horizontal="center" vertical="center"/>
    </xf>
    <xf numFmtId="2" fontId="39" fillId="0" borderId="12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2" fillId="4" borderId="0" xfId="0" applyFont="1" applyFill="1" applyAlignment="1">
      <alignment horizontal="center" vertical="top"/>
    </xf>
    <xf numFmtId="0" fontId="16" fillId="4" borderId="4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top"/>
    </xf>
    <xf numFmtId="0" fontId="6" fillId="4" borderId="0" xfId="0" applyFont="1" applyFill="1" applyBorder="1" applyAlignment="1">
      <alignment horizontal="center" vertical="top"/>
    </xf>
    <xf numFmtId="0" fontId="6" fillId="4" borderId="0" xfId="0" applyFont="1" applyFill="1" applyAlignment="1">
      <alignment horizontal="center" vertical="top"/>
    </xf>
    <xf numFmtId="0" fontId="1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0" fontId="5" fillId="3" borderId="4" xfId="0" applyFont="1" applyFill="1" applyBorder="1" applyAlignment="1">
      <alignment horizontal="right"/>
    </xf>
    <xf numFmtId="0" fontId="5" fillId="3" borderId="6" xfId="0" applyFont="1" applyFill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17" fillId="0" borderId="0" xfId="2" applyFont="1" applyAlignment="1">
      <alignment horizontal="center" vertical="center"/>
    </xf>
    <xf numFmtId="0" fontId="20" fillId="0" borderId="0" xfId="2" applyFont="1" applyAlignment="1">
      <alignment horizontal="left" vertical="center" wrapText="1"/>
    </xf>
    <xf numFmtId="0" fontId="20" fillId="0" borderId="0" xfId="2" applyFont="1" applyAlignment="1">
      <alignment horizontal="left" wrapText="1"/>
    </xf>
    <xf numFmtId="2" fontId="19" fillId="0" borderId="0" xfId="2" applyNumberFormat="1" applyFont="1" applyAlignment="1">
      <alignment horizontal="right" vertical="center"/>
    </xf>
    <xf numFmtId="49" fontId="25" fillId="0" borderId="0" xfId="2" applyNumberFormat="1" applyFont="1" applyAlignment="1">
      <alignment horizontal="center" vertical="center"/>
    </xf>
    <xf numFmtId="0" fontId="17" fillId="0" borderId="0" xfId="2" applyFont="1" applyAlignment="1">
      <alignment horizontal="center" vertical="center" wrapText="1"/>
    </xf>
    <xf numFmtId="0" fontId="24" fillId="0" borderId="0" xfId="2" applyFont="1" applyAlignment="1">
      <alignment horizontal="center" vertical="center"/>
    </xf>
    <xf numFmtId="0" fontId="27" fillId="0" borderId="0" xfId="3" applyFont="1" applyFill="1" applyBorder="1" applyAlignment="1">
      <alignment horizontal="justify" vertical="center" wrapText="1"/>
    </xf>
    <xf numFmtId="0" fontId="19" fillId="0" borderId="0" xfId="2" applyFont="1" applyAlignment="1">
      <alignment horizontal="left" vertical="center"/>
    </xf>
    <xf numFmtId="0" fontId="19" fillId="0" borderId="0" xfId="2" applyFont="1" applyAlignment="1">
      <alignment horizontal="right" vertical="center"/>
    </xf>
    <xf numFmtId="0" fontId="32" fillId="0" borderId="0" xfId="2" applyFont="1" applyAlignment="1">
      <alignment horizontal="center" vertical="center"/>
    </xf>
    <xf numFmtId="0" fontId="19" fillId="0" borderId="0" xfId="2" applyFont="1" applyAlignment="1">
      <alignment horizontal="left" vertical="center" wrapText="1"/>
    </xf>
    <xf numFmtId="0" fontId="19" fillId="0" borderId="0" xfId="2" applyFont="1" applyFill="1" applyAlignment="1">
      <alignment horizontal="left" vertical="center"/>
    </xf>
    <xf numFmtId="0" fontId="20" fillId="0" borderId="0" xfId="2" applyFont="1" applyAlignment="1">
      <alignment horizontal="center"/>
    </xf>
    <xf numFmtId="0" fontId="18" fillId="0" borderId="0" xfId="2" applyFont="1" applyAlignment="1">
      <alignment horizontal="center" vertical="center"/>
    </xf>
    <xf numFmtId="0" fontId="20" fillId="0" borderId="0" xfId="2" applyFont="1" applyAlignment="1">
      <alignment horizontal="center" vertical="center"/>
    </xf>
  </cellXfs>
  <cellStyles count="8">
    <cellStyle name="Moeda" xfId="1" builtinId="4"/>
    <cellStyle name="Normal" xfId="0" builtinId="0"/>
    <cellStyle name="Normal 2" xfId="2"/>
    <cellStyle name="Normal_Composição" xfId="3"/>
    <cellStyle name="Porcentagem" xfId="4" builtinId="5"/>
    <cellStyle name="Separador de milhares_Composição" xfId="5"/>
    <cellStyle name="Vírgula" xfId="6" builtinId="3"/>
    <cellStyle name="Vírgula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1</xdr:row>
      <xdr:rowOff>66675</xdr:rowOff>
    </xdr:from>
    <xdr:to>
      <xdr:col>7</xdr:col>
      <xdr:colOff>838200</xdr:colOff>
      <xdr:row>1</xdr:row>
      <xdr:rowOff>723900</xdr:rowOff>
    </xdr:to>
    <xdr:pic>
      <xdr:nvPicPr>
        <xdr:cNvPr id="4784" name="Picture 2">
          <a:extLst>
            <a:ext uri="{FF2B5EF4-FFF2-40B4-BE49-F238E27FC236}">
              <a16:creationId xmlns:a16="http://schemas.microsoft.com/office/drawing/2014/main" id="{6677937F-95AC-431D-97BA-890CBB85A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5475" y="228600"/>
          <a:ext cx="21621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1381125</xdr:colOff>
      <xdr:row>1</xdr:row>
      <xdr:rowOff>657225</xdr:rowOff>
    </xdr:to>
    <xdr:pic>
      <xdr:nvPicPr>
        <xdr:cNvPr id="2756" name="Picture 2">
          <a:extLst>
            <a:ext uri="{FF2B5EF4-FFF2-40B4-BE49-F238E27FC236}">
              <a16:creationId xmlns:a16="http://schemas.microsoft.com/office/drawing/2014/main" id="{FF04E991-5C11-4747-AE0B-C2BB6E5E2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18383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77"/>
  <sheetViews>
    <sheetView showGridLines="0" tabSelected="1" view="pageBreakPreview" zoomScaleNormal="100" zoomScaleSheetLayoutView="100" workbookViewId="0">
      <pane xSplit="8" ySplit="7" topLeftCell="I8" activePane="bottomRight" state="frozen"/>
      <selection pane="topRight" activeCell="I1" sqref="I1"/>
      <selection pane="bottomLeft" activeCell="A8" sqref="A8"/>
      <selection pane="bottomRight" activeCell="K10" sqref="K10"/>
    </sheetView>
  </sheetViews>
  <sheetFormatPr defaultRowHeight="12.75" x14ac:dyDescent="0.2"/>
  <cols>
    <col min="1" max="1" width="11" bestFit="1" customWidth="1"/>
    <col min="2" max="2" width="7.42578125" customWidth="1"/>
    <col min="3" max="3" width="8.28515625" customWidth="1"/>
    <col min="4" max="4" width="51.5703125" customWidth="1"/>
    <col min="5" max="5" width="6.7109375" customWidth="1"/>
    <col min="6" max="6" width="9.7109375" customWidth="1"/>
    <col min="7" max="7" width="10.7109375" customWidth="1"/>
    <col min="8" max="8" width="13.42578125" customWidth="1"/>
  </cols>
  <sheetData>
    <row r="1" spans="1:8" s="1" customFormat="1" x14ac:dyDescent="0.2">
      <c r="A1" s="390"/>
      <c r="B1" s="391"/>
      <c r="C1" s="391"/>
      <c r="D1" s="391"/>
      <c r="E1" s="391"/>
      <c r="F1" s="391"/>
      <c r="G1" s="391"/>
      <c r="H1" s="392"/>
    </row>
    <row r="2" spans="1:8" s="1" customFormat="1" ht="59.25" customHeight="1" x14ac:dyDescent="0.2">
      <c r="A2" s="400" t="s">
        <v>44</v>
      </c>
      <c r="B2" s="400"/>
      <c r="C2" s="400"/>
      <c r="D2" s="400"/>
      <c r="E2" s="400"/>
      <c r="F2" s="393"/>
      <c r="G2" s="394"/>
      <c r="H2" s="395"/>
    </row>
    <row r="3" spans="1:8" s="1" customFormat="1" ht="12.75" customHeight="1" x14ac:dyDescent="0.2">
      <c r="A3" s="353"/>
      <c r="B3" s="384" t="s">
        <v>124</v>
      </c>
      <c r="C3" s="399" t="s">
        <v>126</v>
      </c>
      <c r="D3" s="399"/>
      <c r="E3" s="399"/>
      <c r="F3" s="399"/>
      <c r="G3" s="397" t="s">
        <v>55</v>
      </c>
      <c r="H3" s="397"/>
    </row>
    <row r="4" spans="1:8" s="1" customFormat="1" ht="13.5" customHeight="1" x14ac:dyDescent="0.2">
      <c r="A4" s="354"/>
      <c r="B4" s="354"/>
      <c r="C4" s="399"/>
      <c r="D4" s="399"/>
      <c r="E4" s="399"/>
      <c r="F4" s="399"/>
      <c r="G4" s="353"/>
      <c r="H4" s="353" t="s">
        <v>788</v>
      </c>
    </row>
    <row r="5" spans="1:8" s="1" customFormat="1" ht="13.5" customHeight="1" x14ac:dyDescent="0.2">
      <c r="A5" s="354"/>
      <c r="B5" s="354"/>
      <c r="C5" s="355"/>
      <c r="D5" s="355"/>
      <c r="E5" s="355"/>
      <c r="F5" s="355"/>
      <c r="G5" s="353"/>
      <c r="H5" s="353" t="s">
        <v>789</v>
      </c>
    </row>
    <row r="6" spans="1:8" s="3" customFormat="1" x14ac:dyDescent="0.2">
      <c r="A6" s="387" t="s">
        <v>3</v>
      </c>
      <c r="B6" s="387"/>
      <c r="C6" s="387" t="s">
        <v>4</v>
      </c>
      <c r="D6" s="387" t="s">
        <v>5</v>
      </c>
      <c r="E6" s="387" t="s">
        <v>6</v>
      </c>
      <c r="F6" s="389" t="s">
        <v>7</v>
      </c>
      <c r="G6" s="388" t="s">
        <v>8</v>
      </c>
      <c r="H6" s="389" t="s">
        <v>9</v>
      </c>
    </row>
    <row r="7" spans="1:8" s="3" customFormat="1" x14ac:dyDescent="0.2">
      <c r="A7" s="2" t="s">
        <v>287</v>
      </c>
      <c r="B7" s="2" t="s">
        <v>288</v>
      </c>
      <c r="C7" s="387"/>
      <c r="D7" s="387"/>
      <c r="E7" s="387"/>
      <c r="F7" s="389"/>
      <c r="G7" s="388"/>
      <c r="H7" s="389"/>
    </row>
    <row r="8" spans="1:8" s="4" customFormat="1" x14ac:dyDescent="0.2">
      <c r="A8" s="28"/>
      <c r="B8" s="28"/>
      <c r="C8" s="29">
        <v>1</v>
      </c>
      <c r="D8" s="30" t="s">
        <v>48</v>
      </c>
      <c r="E8" s="31"/>
      <c r="F8" s="32"/>
      <c r="G8" s="32"/>
      <c r="H8" s="33">
        <f>SUM(H9:H10)</f>
        <v>1135.1199999999999</v>
      </c>
    </row>
    <row r="9" spans="1:8" s="4" customFormat="1" x14ac:dyDescent="0.2">
      <c r="A9" s="127">
        <v>7010100150</v>
      </c>
      <c r="B9" s="127" t="s">
        <v>289</v>
      </c>
      <c r="C9" s="128" t="s">
        <v>15</v>
      </c>
      <c r="D9" s="129" t="s">
        <v>111</v>
      </c>
      <c r="E9" s="128" t="s">
        <v>112</v>
      </c>
      <c r="F9" s="131">
        <f>'MEMÓRIA DE CÁLCULO'!L6</f>
        <v>1</v>
      </c>
      <c r="G9" s="126">
        <v>637.26</v>
      </c>
      <c r="H9" s="126">
        <f>ROUND(F9*G9,2)</f>
        <v>637.26</v>
      </c>
    </row>
    <row r="10" spans="1:8" s="4" customFormat="1" x14ac:dyDescent="0.2">
      <c r="A10" s="127">
        <v>7010100170</v>
      </c>
      <c r="B10" s="127" t="s">
        <v>289</v>
      </c>
      <c r="C10" s="128" t="s">
        <v>26</v>
      </c>
      <c r="D10" s="129" t="s">
        <v>113</v>
      </c>
      <c r="E10" s="128" t="s">
        <v>112</v>
      </c>
      <c r="F10" s="131">
        <f>'MEMÓRIA DE CÁLCULO'!L7</f>
        <v>1</v>
      </c>
      <c r="G10" s="126">
        <v>497.86</v>
      </c>
      <c r="H10" s="126">
        <f t="shared" ref="H10:H16" si="0">ROUND(F10*G10,2)</f>
        <v>497.86</v>
      </c>
    </row>
    <row r="11" spans="1:8" s="4" customFormat="1" ht="6" customHeight="1" x14ac:dyDescent="0.2">
      <c r="A11" s="34"/>
      <c r="B11" s="34"/>
      <c r="C11" s="356"/>
      <c r="D11" s="2"/>
      <c r="E11" s="357"/>
      <c r="F11" s="358"/>
      <c r="G11" s="358"/>
      <c r="H11" s="358"/>
    </row>
    <row r="12" spans="1:8" s="4" customFormat="1" x14ac:dyDescent="0.2">
      <c r="A12" s="28"/>
      <c r="B12" s="28"/>
      <c r="C12" s="29">
        <v>2</v>
      </c>
      <c r="D12" s="30" t="s">
        <v>109</v>
      </c>
      <c r="E12" s="31"/>
      <c r="F12" s="32"/>
      <c r="G12" s="32"/>
      <c r="H12" s="33">
        <f>SUM(H13:H16)</f>
        <v>1373.29</v>
      </c>
    </row>
    <row r="13" spans="1:8" s="77" customFormat="1" x14ac:dyDescent="0.2">
      <c r="A13" s="127">
        <v>7050100040</v>
      </c>
      <c r="B13" s="127" t="s">
        <v>289</v>
      </c>
      <c r="C13" s="128" t="s">
        <v>16</v>
      </c>
      <c r="D13" s="129" t="s">
        <v>110</v>
      </c>
      <c r="E13" s="128" t="s">
        <v>29</v>
      </c>
      <c r="F13" s="130">
        <f>'MEMÓRIA DE CÁLCULO'!L10</f>
        <v>5</v>
      </c>
      <c r="G13" s="126">
        <v>152.84</v>
      </c>
      <c r="H13" s="126">
        <f t="shared" si="0"/>
        <v>764.2</v>
      </c>
    </row>
    <row r="14" spans="1:8" s="77" customFormat="1" x14ac:dyDescent="0.2">
      <c r="A14" s="127">
        <v>7070100130</v>
      </c>
      <c r="B14" s="127" t="s">
        <v>289</v>
      </c>
      <c r="C14" s="128" t="s">
        <v>20</v>
      </c>
      <c r="D14" s="129" t="s">
        <v>114</v>
      </c>
      <c r="E14" s="128" t="s">
        <v>30</v>
      </c>
      <c r="F14" s="130">
        <f>'MEMÓRIA DE CÁLCULO'!L11</f>
        <v>3.84</v>
      </c>
      <c r="G14" s="126">
        <v>105.41</v>
      </c>
      <c r="H14" s="126">
        <f t="shared" si="0"/>
        <v>404.77</v>
      </c>
    </row>
    <row r="15" spans="1:8" s="77" customFormat="1" x14ac:dyDescent="0.2">
      <c r="A15" s="127">
        <v>7070100200</v>
      </c>
      <c r="B15" s="127" t="s">
        <v>289</v>
      </c>
      <c r="C15" s="128" t="s">
        <v>59</v>
      </c>
      <c r="D15" s="129" t="s">
        <v>115</v>
      </c>
      <c r="E15" s="128" t="s">
        <v>28</v>
      </c>
      <c r="F15" s="126">
        <f>'MEMÓRIA DE CÁLCULO'!L15</f>
        <v>10.64</v>
      </c>
      <c r="G15" s="126">
        <v>9.94</v>
      </c>
      <c r="H15" s="126">
        <f t="shared" si="0"/>
        <v>105.76</v>
      </c>
    </row>
    <row r="16" spans="1:8" s="77" customFormat="1" x14ac:dyDescent="0.2">
      <c r="A16" s="127">
        <v>7070100230</v>
      </c>
      <c r="B16" s="127" t="s">
        <v>289</v>
      </c>
      <c r="C16" s="128" t="s">
        <v>60</v>
      </c>
      <c r="D16" s="129" t="s">
        <v>116</v>
      </c>
      <c r="E16" s="128" t="s">
        <v>29</v>
      </c>
      <c r="F16" s="126">
        <f>'MEMÓRIA DE CÁLCULO'!L19</f>
        <v>0.2</v>
      </c>
      <c r="G16" s="126">
        <v>492.8</v>
      </c>
      <c r="H16" s="126">
        <f t="shared" si="0"/>
        <v>98.56</v>
      </c>
    </row>
    <row r="17" spans="1:8" s="4" customFormat="1" ht="6" customHeight="1" x14ac:dyDescent="0.2">
      <c r="A17" s="34"/>
      <c r="B17" s="34"/>
      <c r="C17" s="356"/>
      <c r="D17" s="2"/>
      <c r="E17" s="357"/>
      <c r="F17" s="358"/>
      <c r="G17" s="358"/>
      <c r="H17" s="358"/>
    </row>
    <row r="18" spans="1:8" s="4" customFormat="1" x14ac:dyDescent="0.2">
      <c r="A18" s="28"/>
      <c r="B18" s="28"/>
      <c r="C18" s="29">
        <v>3</v>
      </c>
      <c r="D18" s="30" t="s">
        <v>49</v>
      </c>
      <c r="E18" s="31"/>
      <c r="F18" s="32"/>
      <c r="G18" s="32"/>
      <c r="H18" s="33">
        <f>SUM(H19:H40)</f>
        <v>24003.23</v>
      </c>
    </row>
    <row r="19" spans="1:8" s="77" customFormat="1" ht="25.5" x14ac:dyDescent="0.2">
      <c r="A19" s="127">
        <v>85233</v>
      </c>
      <c r="B19" s="127" t="s">
        <v>290</v>
      </c>
      <c r="C19" s="128" t="s">
        <v>17</v>
      </c>
      <c r="D19" s="71" t="s">
        <v>291</v>
      </c>
      <c r="E19" s="128" t="s">
        <v>29</v>
      </c>
      <c r="F19" s="131">
        <f>'MEMÓRIA DE CÁLCULO'!L24</f>
        <v>0.28799999999999998</v>
      </c>
      <c r="G19" s="126">
        <f>ROUND(2158.72*1.2619,2)</f>
        <v>2724.09</v>
      </c>
      <c r="H19" s="126">
        <f>ROUND(F19*G19,2)</f>
        <v>784.54</v>
      </c>
    </row>
    <row r="20" spans="1:8" s="77" customFormat="1" x14ac:dyDescent="0.2">
      <c r="A20" s="127">
        <v>7090100260</v>
      </c>
      <c r="B20" s="127" t="s">
        <v>289</v>
      </c>
      <c r="C20" s="128" t="s">
        <v>18</v>
      </c>
      <c r="D20" s="129" t="s">
        <v>191</v>
      </c>
      <c r="E20" s="128" t="s">
        <v>30</v>
      </c>
      <c r="F20" s="131">
        <f>'MEMÓRIA DE CÁLCULO'!L25</f>
        <v>4</v>
      </c>
      <c r="G20" s="126">
        <v>50.48</v>
      </c>
      <c r="H20" s="126">
        <f>ROUND(F20*G20,2)</f>
        <v>201.92</v>
      </c>
    </row>
    <row r="21" spans="1:8" s="77" customFormat="1" x14ac:dyDescent="0.2">
      <c r="A21" s="127">
        <v>7120100010</v>
      </c>
      <c r="B21" s="127" t="s">
        <v>289</v>
      </c>
      <c r="C21" s="128" t="s">
        <v>19</v>
      </c>
      <c r="D21" s="129" t="s">
        <v>144</v>
      </c>
      <c r="E21" s="128" t="s">
        <v>30</v>
      </c>
      <c r="F21" s="126">
        <f>'MEMÓRIA DE CÁLCULO'!L28</f>
        <v>1.26</v>
      </c>
      <c r="G21" s="126">
        <v>345</v>
      </c>
      <c r="H21" s="126">
        <f>ROUND(F21*G21,2)</f>
        <v>434.7</v>
      </c>
    </row>
    <row r="22" spans="1:8" s="77" customFormat="1" x14ac:dyDescent="0.2">
      <c r="A22" s="127">
        <v>7100100220</v>
      </c>
      <c r="B22" s="127" t="s">
        <v>289</v>
      </c>
      <c r="C22" s="128" t="s">
        <v>192</v>
      </c>
      <c r="D22" s="129" t="s">
        <v>184</v>
      </c>
      <c r="E22" s="127" t="s">
        <v>30</v>
      </c>
      <c r="F22" s="131">
        <f>'MEMÓRIA DE CÁLCULO'!L30</f>
        <v>39.529999999999994</v>
      </c>
      <c r="G22" s="126">
        <v>19.16</v>
      </c>
      <c r="H22" s="126">
        <f>ROUND(F22*G22,2)</f>
        <v>757.39</v>
      </c>
    </row>
    <row r="23" spans="1:8" s="77" customFormat="1" x14ac:dyDescent="0.2">
      <c r="A23" s="127">
        <v>7100100310</v>
      </c>
      <c r="B23" s="127" t="s">
        <v>289</v>
      </c>
      <c r="C23" s="128" t="s">
        <v>193</v>
      </c>
      <c r="D23" s="129" t="s">
        <v>133</v>
      </c>
      <c r="E23" s="128" t="s">
        <v>30</v>
      </c>
      <c r="F23" s="131">
        <f>'MEMÓRIA DE CÁLCULO'!L40</f>
        <v>0.94200000000000017</v>
      </c>
      <c r="G23" s="126">
        <v>32.72</v>
      </c>
      <c r="H23" s="126">
        <v>30.76</v>
      </c>
    </row>
    <row r="24" spans="1:8" s="77" customFormat="1" x14ac:dyDescent="0.2">
      <c r="A24" s="127">
        <v>7100100340</v>
      </c>
      <c r="B24" s="127" t="s">
        <v>289</v>
      </c>
      <c r="C24" s="128" t="s">
        <v>194</v>
      </c>
      <c r="D24" s="129" t="s">
        <v>134</v>
      </c>
      <c r="E24" s="128" t="s">
        <v>30</v>
      </c>
      <c r="F24" s="131">
        <f>'MEMÓRIA DE CÁLCULO'!L41</f>
        <v>1</v>
      </c>
      <c r="G24" s="126">
        <v>22.7</v>
      </c>
      <c r="H24" s="126">
        <f t="shared" ref="H24:H39" si="1">ROUND(F24*G24,2)</f>
        <v>22.7</v>
      </c>
    </row>
    <row r="25" spans="1:8" s="77" customFormat="1" x14ac:dyDescent="0.2">
      <c r="A25" s="127">
        <v>7100100350</v>
      </c>
      <c r="B25" s="127" t="s">
        <v>289</v>
      </c>
      <c r="C25" s="128" t="s">
        <v>68</v>
      </c>
      <c r="D25" s="129" t="s">
        <v>137</v>
      </c>
      <c r="E25" s="128" t="s">
        <v>30</v>
      </c>
      <c r="F25" s="131">
        <f>'MEMÓRIA DE CÁLCULO'!L43</f>
        <v>39.529999999999994</v>
      </c>
      <c r="G25" s="126">
        <v>17.760000000000002</v>
      </c>
      <c r="H25" s="126">
        <f t="shared" si="1"/>
        <v>702.05</v>
      </c>
    </row>
    <row r="26" spans="1:8" s="77" customFormat="1" x14ac:dyDescent="0.2">
      <c r="A26" s="385" t="s">
        <v>158</v>
      </c>
      <c r="B26" s="385"/>
      <c r="C26" s="128" t="s">
        <v>195</v>
      </c>
      <c r="D26" s="129" t="s">
        <v>185</v>
      </c>
      <c r="E26" s="128" t="s">
        <v>27</v>
      </c>
      <c r="F26" s="131">
        <f>'MEMÓRIA DE CÁLCULO'!L53</f>
        <v>9.1999999999999993</v>
      </c>
      <c r="G26" s="126">
        <v>2.5499999999999998</v>
      </c>
      <c r="H26" s="126">
        <f t="shared" si="1"/>
        <v>23.46</v>
      </c>
    </row>
    <row r="27" spans="1:8" s="77" customFormat="1" ht="16.5" customHeight="1" x14ac:dyDescent="0.2">
      <c r="A27" s="127">
        <v>27677</v>
      </c>
      <c r="B27" s="127" t="s">
        <v>138</v>
      </c>
      <c r="C27" s="128" t="s">
        <v>196</v>
      </c>
      <c r="D27" s="129" t="s">
        <v>186</v>
      </c>
      <c r="E27" s="128" t="s">
        <v>30</v>
      </c>
      <c r="F27" s="131">
        <f>'MEMÓRIA DE CÁLCULO'!L54</f>
        <v>1.92</v>
      </c>
      <c r="G27" s="131">
        <v>8.39</v>
      </c>
      <c r="H27" s="126">
        <f t="shared" si="1"/>
        <v>16.11</v>
      </c>
    </row>
    <row r="28" spans="1:8" s="77" customFormat="1" ht="15" customHeight="1" x14ac:dyDescent="0.2">
      <c r="A28" s="385" t="s">
        <v>151</v>
      </c>
      <c r="B28" s="385"/>
      <c r="C28" s="128" t="s">
        <v>197</v>
      </c>
      <c r="D28" s="129" t="s">
        <v>50</v>
      </c>
      <c r="E28" s="128" t="s">
        <v>119</v>
      </c>
      <c r="F28" s="131">
        <f>'MEMÓRIA DE CÁLCULO'!L55</f>
        <v>1</v>
      </c>
      <c r="G28" s="126">
        <f>'COMP 1'!F14</f>
        <v>265.04000000000002</v>
      </c>
      <c r="H28" s="126">
        <f t="shared" si="1"/>
        <v>265.04000000000002</v>
      </c>
    </row>
    <row r="29" spans="1:8" s="77" customFormat="1" ht="15" customHeight="1" x14ac:dyDescent="0.2">
      <c r="A29" s="127">
        <v>7040100060</v>
      </c>
      <c r="B29" s="127" t="s">
        <v>289</v>
      </c>
      <c r="C29" s="128" t="s">
        <v>198</v>
      </c>
      <c r="D29" s="123" t="s">
        <v>136</v>
      </c>
      <c r="E29" s="124" t="s">
        <v>29</v>
      </c>
      <c r="F29" s="131">
        <f>'MEMÓRIA DE CÁLCULO'!L56</f>
        <v>14.399999999999999</v>
      </c>
      <c r="G29" s="126">
        <v>9.85</v>
      </c>
      <c r="H29" s="126">
        <f t="shared" si="1"/>
        <v>141.84</v>
      </c>
    </row>
    <row r="30" spans="1:8" s="77" customFormat="1" ht="15" customHeight="1" x14ac:dyDescent="0.2">
      <c r="A30" s="127">
        <v>7040100180</v>
      </c>
      <c r="B30" s="127" t="s">
        <v>289</v>
      </c>
      <c r="C30" s="128" t="s">
        <v>69</v>
      </c>
      <c r="D30" s="123" t="s">
        <v>101</v>
      </c>
      <c r="E30" s="124" t="s">
        <v>29</v>
      </c>
      <c r="F30" s="131">
        <f>'MEMÓRIA DE CÁLCULO'!L57</f>
        <v>14.399999999999999</v>
      </c>
      <c r="G30" s="126">
        <v>7.55</v>
      </c>
      <c r="H30" s="126">
        <f t="shared" si="1"/>
        <v>108.72</v>
      </c>
    </row>
    <row r="31" spans="1:8" s="77" customFormat="1" ht="15" customHeight="1" x14ac:dyDescent="0.2">
      <c r="A31" s="127">
        <v>7040100220</v>
      </c>
      <c r="B31" s="127" t="s">
        <v>289</v>
      </c>
      <c r="C31" s="128" t="s">
        <v>70</v>
      </c>
      <c r="D31" s="123" t="s">
        <v>103</v>
      </c>
      <c r="E31" s="124" t="s">
        <v>29</v>
      </c>
      <c r="F31" s="131">
        <f>'MEMÓRIA DE CÁLCULO'!L58</f>
        <v>14.399999999999999</v>
      </c>
      <c r="G31" s="126">
        <v>19.03</v>
      </c>
      <c r="H31" s="126">
        <f t="shared" si="1"/>
        <v>274.02999999999997</v>
      </c>
    </row>
    <row r="32" spans="1:8" s="77" customFormat="1" ht="24" x14ac:dyDescent="0.2">
      <c r="A32" s="127">
        <v>36084</v>
      </c>
      <c r="B32" s="127" t="s">
        <v>290</v>
      </c>
      <c r="C32" s="128" t="s">
        <v>71</v>
      </c>
      <c r="D32" s="123" t="s">
        <v>143</v>
      </c>
      <c r="E32" s="124" t="s">
        <v>27</v>
      </c>
      <c r="F32" s="131">
        <f>'MEMÓRIA DE CÁLCULO'!L59</f>
        <v>30</v>
      </c>
      <c r="G32" s="126">
        <f>(11.56*1.2619)</f>
        <v>14.587564</v>
      </c>
      <c r="H32" s="126">
        <f t="shared" si="1"/>
        <v>437.63</v>
      </c>
    </row>
    <row r="33" spans="1:10" s="77" customFormat="1" ht="15" customHeight="1" x14ac:dyDescent="0.2">
      <c r="A33" s="127">
        <v>7170100150</v>
      </c>
      <c r="B33" s="127" t="s">
        <v>289</v>
      </c>
      <c r="C33" s="128" t="s">
        <v>199</v>
      </c>
      <c r="D33" s="123" t="s">
        <v>104</v>
      </c>
      <c r="E33" s="124" t="s">
        <v>27</v>
      </c>
      <c r="F33" s="131">
        <f>'MEMÓRIA DE CÁLCULO'!L60</f>
        <v>30</v>
      </c>
      <c r="G33" s="126">
        <v>3.43</v>
      </c>
      <c r="H33" s="126">
        <f>ROUND(F33*G33,2)</f>
        <v>102.9</v>
      </c>
    </row>
    <row r="34" spans="1:10" s="77" customFormat="1" ht="24" x14ac:dyDescent="0.2">
      <c r="A34" s="385" t="s">
        <v>152</v>
      </c>
      <c r="B34" s="385"/>
      <c r="C34" s="128" t="s">
        <v>200</v>
      </c>
      <c r="D34" s="129" t="s">
        <v>51</v>
      </c>
      <c r="E34" s="128" t="s">
        <v>119</v>
      </c>
      <c r="F34" s="131">
        <f>'MEMÓRIA DE CÁLCULO'!L61</f>
        <v>1</v>
      </c>
      <c r="G34" s="126">
        <f>'COMP 02'!F25</f>
        <v>784.45999999999992</v>
      </c>
      <c r="H34" s="126">
        <f t="shared" si="1"/>
        <v>784.46</v>
      </c>
    </row>
    <row r="35" spans="1:10" s="77" customFormat="1" x14ac:dyDescent="0.2">
      <c r="A35" s="127">
        <v>7160100010</v>
      </c>
      <c r="B35" s="127" t="s">
        <v>289</v>
      </c>
      <c r="C35" s="128" t="s">
        <v>72</v>
      </c>
      <c r="D35" s="129" t="s">
        <v>149</v>
      </c>
      <c r="E35" s="128" t="s">
        <v>119</v>
      </c>
      <c r="F35" s="131">
        <f>'MEMÓRIA DE CÁLCULO'!L62</f>
        <v>2</v>
      </c>
      <c r="G35" s="126">
        <v>621.20000000000005</v>
      </c>
      <c r="H35" s="126">
        <f t="shared" si="1"/>
        <v>1242.4000000000001</v>
      </c>
    </row>
    <row r="36" spans="1:10" s="77" customFormat="1" ht="24" x14ac:dyDescent="0.2">
      <c r="A36" s="385" t="s">
        <v>153</v>
      </c>
      <c r="B36" s="385"/>
      <c r="C36" s="128" t="s">
        <v>73</v>
      </c>
      <c r="D36" s="129" t="s">
        <v>52</v>
      </c>
      <c r="E36" s="128" t="s">
        <v>119</v>
      </c>
      <c r="F36" s="131">
        <f>'MEMÓRIA DE CÁLCULO'!L63</f>
        <v>1</v>
      </c>
      <c r="G36" s="126">
        <f>'COMP 3'!F40</f>
        <v>3506.9</v>
      </c>
      <c r="H36" s="126">
        <f t="shared" si="1"/>
        <v>3506.9</v>
      </c>
    </row>
    <row r="37" spans="1:10" s="77" customFormat="1" ht="24" x14ac:dyDescent="0.2">
      <c r="A37" s="385" t="s">
        <v>155</v>
      </c>
      <c r="B37" s="385"/>
      <c r="C37" s="128" t="s">
        <v>74</v>
      </c>
      <c r="D37" s="129" t="s">
        <v>53</v>
      </c>
      <c r="E37" s="128" t="s">
        <v>119</v>
      </c>
      <c r="F37" s="131">
        <f>'MEMÓRIA DE CÁLCULO'!L64</f>
        <v>1</v>
      </c>
      <c r="G37" s="126">
        <f>'COMP 4'!F12</f>
        <v>7764.4</v>
      </c>
      <c r="H37" s="126">
        <f t="shared" si="1"/>
        <v>7764.4</v>
      </c>
    </row>
    <row r="38" spans="1:10" s="77" customFormat="1" x14ac:dyDescent="0.2">
      <c r="A38" s="127">
        <v>7210100410</v>
      </c>
      <c r="B38" s="127" t="s">
        <v>289</v>
      </c>
      <c r="C38" s="128" t="s">
        <v>75</v>
      </c>
      <c r="D38" s="129" t="s">
        <v>127</v>
      </c>
      <c r="E38" s="128" t="s">
        <v>27</v>
      </c>
      <c r="F38" s="131">
        <f>'MEMÓRIA DE CÁLCULO'!L65</f>
        <v>18</v>
      </c>
      <c r="G38" s="126">
        <v>28.29</v>
      </c>
      <c r="H38" s="126">
        <f t="shared" si="1"/>
        <v>509.22</v>
      </c>
    </row>
    <row r="39" spans="1:10" s="77" customFormat="1" ht="24" x14ac:dyDescent="0.2">
      <c r="A39" s="127">
        <v>40144</v>
      </c>
      <c r="B39" s="127" t="s">
        <v>138</v>
      </c>
      <c r="C39" s="128" t="s">
        <v>76</v>
      </c>
      <c r="D39" s="129" t="s">
        <v>139</v>
      </c>
      <c r="E39" s="128" t="s">
        <v>119</v>
      </c>
      <c r="F39" s="131">
        <f>'MEMÓRIA DE CÁLCULO'!L66</f>
        <v>1</v>
      </c>
      <c r="G39" s="126">
        <v>1707.77</v>
      </c>
      <c r="H39" s="126">
        <f t="shared" si="1"/>
        <v>1707.77</v>
      </c>
    </row>
    <row r="40" spans="1:10" s="77" customFormat="1" ht="24.75" customHeight="1" x14ac:dyDescent="0.2">
      <c r="A40" s="385" t="s">
        <v>154</v>
      </c>
      <c r="B40" s="385"/>
      <c r="C40" s="128" t="s">
        <v>77</v>
      </c>
      <c r="D40" s="129" t="s">
        <v>54</v>
      </c>
      <c r="E40" s="128" t="s">
        <v>119</v>
      </c>
      <c r="F40" s="131">
        <f>'MEMÓRIA DE CÁLCULO'!L67</f>
        <v>1</v>
      </c>
      <c r="G40" s="126">
        <f>'COMP 5'!F58</f>
        <v>4184.29</v>
      </c>
      <c r="H40" s="126">
        <f>ROUND(F40*G40,2)</f>
        <v>4184.29</v>
      </c>
    </row>
    <row r="41" spans="1:10" s="4" customFormat="1" ht="6" customHeight="1" x14ac:dyDescent="0.2">
      <c r="A41" s="34"/>
      <c r="B41" s="34"/>
      <c r="C41" s="356"/>
      <c r="D41" s="2"/>
      <c r="E41" s="357"/>
      <c r="F41" s="358"/>
      <c r="G41" s="358"/>
      <c r="H41" s="358"/>
      <c r="J41" s="77"/>
    </row>
    <row r="42" spans="1:10" s="4" customFormat="1" x14ac:dyDescent="0.2">
      <c r="A42" s="28"/>
      <c r="B42" s="28"/>
      <c r="C42" s="359">
        <v>4</v>
      </c>
      <c r="D42" s="30" t="s">
        <v>58</v>
      </c>
      <c r="E42" s="360"/>
      <c r="F42" s="361"/>
      <c r="G42" s="362"/>
      <c r="H42" s="33">
        <f>SUM(H43:H49)</f>
        <v>47603.01</v>
      </c>
      <c r="J42" s="77"/>
    </row>
    <row r="43" spans="1:10" s="77" customFormat="1" x14ac:dyDescent="0.2">
      <c r="A43" s="127">
        <v>7040100060</v>
      </c>
      <c r="B43" s="127" t="s">
        <v>289</v>
      </c>
      <c r="C43" s="122" t="s">
        <v>21</v>
      </c>
      <c r="D43" s="134" t="s">
        <v>125</v>
      </c>
      <c r="E43" s="132" t="s">
        <v>29</v>
      </c>
      <c r="F43" s="131">
        <f>'MEMÓRIA DE CÁLCULO'!L70</f>
        <v>26.279999999999998</v>
      </c>
      <c r="G43" s="126">
        <v>9.85</v>
      </c>
      <c r="H43" s="126">
        <f t="shared" ref="H43:H49" si="2">ROUND(F43*G43,2)</f>
        <v>258.86</v>
      </c>
    </row>
    <row r="44" spans="1:10" s="77" customFormat="1" x14ac:dyDescent="0.2">
      <c r="A44" s="127">
        <v>7040100350</v>
      </c>
      <c r="B44" s="127" t="s">
        <v>289</v>
      </c>
      <c r="C44" s="122" t="s">
        <v>22</v>
      </c>
      <c r="D44" s="129" t="s">
        <v>128</v>
      </c>
      <c r="E44" s="132" t="s">
        <v>29</v>
      </c>
      <c r="F44" s="131">
        <f>'MEMÓRIA DE CÁLCULO'!L71</f>
        <v>26.279999999999998</v>
      </c>
      <c r="G44" s="126">
        <v>2.5099999999999998</v>
      </c>
      <c r="H44" s="126">
        <f t="shared" si="2"/>
        <v>65.959999999999994</v>
      </c>
    </row>
    <row r="45" spans="1:10" s="77" customFormat="1" x14ac:dyDescent="0.2">
      <c r="A45" s="127">
        <v>7210100460</v>
      </c>
      <c r="B45" s="127" t="s">
        <v>289</v>
      </c>
      <c r="C45" s="122" t="s">
        <v>83</v>
      </c>
      <c r="D45" s="129" t="s">
        <v>123</v>
      </c>
      <c r="E45" s="132" t="s">
        <v>30</v>
      </c>
      <c r="F45" s="131">
        <f>'MEMÓRIA DE CÁLCULO'!L72</f>
        <v>399.98</v>
      </c>
      <c r="G45" s="126">
        <v>15.14</v>
      </c>
      <c r="H45" s="126">
        <f t="shared" si="2"/>
        <v>6055.7</v>
      </c>
    </row>
    <row r="46" spans="1:10" s="77" customFormat="1" ht="14.25" customHeight="1" x14ac:dyDescent="0.2">
      <c r="A46" s="385" t="s">
        <v>162</v>
      </c>
      <c r="B46" s="385"/>
      <c r="C46" s="122" t="s">
        <v>201</v>
      </c>
      <c r="D46" s="129" t="s">
        <v>56</v>
      </c>
      <c r="E46" s="128" t="s">
        <v>119</v>
      </c>
      <c r="F46" s="131">
        <f>'MEMÓRIA DE CÁLCULO'!L73</f>
        <v>1</v>
      </c>
      <c r="G46" s="126">
        <f>'COMP 6 '!F56</f>
        <v>16364.18</v>
      </c>
      <c r="H46" s="126">
        <f t="shared" si="2"/>
        <v>16364.18</v>
      </c>
      <c r="I46" s="78"/>
    </row>
    <row r="47" spans="1:10" s="77" customFormat="1" ht="24.75" customHeight="1" x14ac:dyDescent="0.2">
      <c r="A47" s="127">
        <v>71107</v>
      </c>
      <c r="B47" s="127" t="s">
        <v>138</v>
      </c>
      <c r="C47" s="122" t="s">
        <v>84</v>
      </c>
      <c r="D47" s="129" t="s">
        <v>145</v>
      </c>
      <c r="E47" s="132" t="s">
        <v>30</v>
      </c>
      <c r="F47" s="131">
        <f>'MEMÓRIA DE CÁLCULO'!L74</f>
        <v>10.8</v>
      </c>
      <c r="G47" s="126">
        <v>787.36</v>
      </c>
      <c r="H47" s="126">
        <f t="shared" si="2"/>
        <v>8503.49</v>
      </c>
      <c r="I47" s="78"/>
    </row>
    <row r="48" spans="1:10" s="77" customFormat="1" x14ac:dyDescent="0.2">
      <c r="A48" s="127">
        <v>7080100010</v>
      </c>
      <c r="B48" s="127" t="s">
        <v>289</v>
      </c>
      <c r="C48" s="122" t="s">
        <v>85</v>
      </c>
      <c r="D48" s="129" t="s">
        <v>140</v>
      </c>
      <c r="E48" s="132" t="s">
        <v>119</v>
      </c>
      <c r="F48" s="131">
        <f>'MEMÓRIA DE CÁLCULO'!L75</f>
        <v>9</v>
      </c>
      <c r="G48" s="126">
        <v>1627.45</v>
      </c>
      <c r="H48" s="126">
        <f t="shared" si="2"/>
        <v>14647.05</v>
      </c>
    </row>
    <row r="49" spans="1:13" s="77" customFormat="1" ht="24" x14ac:dyDescent="0.2">
      <c r="A49" s="127">
        <v>40144</v>
      </c>
      <c r="B49" s="127" t="s">
        <v>138</v>
      </c>
      <c r="C49" s="122" t="s">
        <v>86</v>
      </c>
      <c r="D49" s="129" t="s">
        <v>139</v>
      </c>
      <c r="E49" s="132" t="s">
        <v>119</v>
      </c>
      <c r="F49" s="131">
        <f>'MEMÓRIA DE CÁLCULO'!L76</f>
        <v>1</v>
      </c>
      <c r="G49" s="126">
        <v>1707.77</v>
      </c>
      <c r="H49" s="126">
        <f t="shared" si="2"/>
        <v>1707.77</v>
      </c>
    </row>
    <row r="50" spans="1:13" s="4" customFormat="1" ht="3.75" customHeight="1" x14ac:dyDescent="0.2">
      <c r="A50" s="34"/>
      <c r="B50" s="34"/>
      <c r="C50" s="363"/>
      <c r="D50" s="363"/>
      <c r="E50" s="363"/>
      <c r="F50" s="364"/>
      <c r="G50" s="363"/>
      <c r="H50" s="365"/>
      <c r="J50" s="77"/>
    </row>
    <row r="51" spans="1:13" s="4" customFormat="1" x14ac:dyDescent="0.2">
      <c r="A51" s="366"/>
      <c r="B51" s="366"/>
      <c r="C51" s="359">
        <v>5</v>
      </c>
      <c r="D51" s="367" t="s">
        <v>61</v>
      </c>
      <c r="E51" s="360"/>
      <c r="F51" s="368"/>
      <c r="G51" s="368"/>
      <c r="H51" s="33">
        <f>SUM(H52:H69)</f>
        <v>28733.699999999997</v>
      </c>
      <c r="J51" s="77"/>
    </row>
    <row r="52" spans="1:13" s="4" customFormat="1" x14ac:dyDescent="0.2">
      <c r="A52" s="127">
        <v>7090100260</v>
      </c>
      <c r="B52" s="127" t="s">
        <v>289</v>
      </c>
      <c r="C52" s="128" t="s">
        <v>202</v>
      </c>
      <c r="D52" s="129" t="s">
        <v>191</v>
      </c>
      <c r="E52" s="128" t="s">
        <v>30</v>
      </c>
      <c r="F52" s="131">
        <f>'MEMÓRIA DE CÁLCULO'!L79</f>
        <v>11.262499999999999</v>
      </c>
      <c r="G52" s="126">
        <v>50.48</v>
      </c>
      <c r="H52" s="126">
        <f>ROUND(F52*G52,2)</f>
        <v>568.53</v>
      </c>
      <c r="J52" s="77"/>
    </row>
    <row r="53" spans="1:13" s="5" customFormat="1" x14ac:dyDescent="0.2">
      <c r="A53" s="385" t="s">
        <v>158</v>
      </c>
      <c r="B53" s="385"/>
      <c r="C53" s="128" t="s">
        <v>203</v>
      </c>
      <c r="D53" s="129" t="s">
        <v>185</v>
      </c>
      <c r="E53" s="128" t="s">
        <v>27</v>
      </c>
      <c r="F53" s="131">
        <f>'MEMÓRIA DE CÁLCULO'!L80</f>
        <v>15</v>
      </c>
      <c r="G53" s="126">
        <v>2.5499999999999998</v>
      </c>
      <c r="H53" s="126">
        <f>ROUND(F53*G53,2)</f>
        <v>38.25</v>
      </c>
      <c r="J53" s="77"/>
    </row>
    <row r="54" spans="1:13" s="5" customFormat="1" x14ac:dyDescent="0.2">
      <c r="A54" s="127">
        <v>27677</v>
      </c>
      <c r="B54" s="127" t="s">
        <v>138</v>
      </c>
      <c r="C54" s="128" t="s">
        <v>204</v>
      </c>
      <c r="D54" s="129" t="s">
        <v>186</v>
      </c>
      <c r="E54" s="128" t="s">
        <v>30</v>
      </c>
      <c r="F54" s="131">
        <f>'MEMÓRIA DE CÁLCULO'!L81</f>
        <v>1.32</v>
      </c>
      <c r="G54" s="131">
        <v>8.39</v>
      </c>
      <c r="H54" s="126">
        <f>ROUND(F54*G54,2)</f>
        <v>11.07</v>
      </c>
      <c r="J54" s="77"/>
    </row>
    <row r="55" spans="1:13" s="5" customFormat="1" x14ac:dyDescent="0.2">
      <c r="A55" s="127">
        <v>7100100220</v>
      </c>
      <c r="B55" s="127" t="s">
        <v>289</v>
      </c>
      <c r="C55" s="128" t="s">
        <v>205</v>
      </c>
      <c r="D55" s="129" t="s">
        <v>184</v>
      </c>
      <c r="E55" s="127" t="s">
        <v>30</v>
      </c>
      <c r="F55" s="131">
        <f>'MEMÓRIA DE CÁLCULO'!L83</f>
        <v>88.54</v>
      </c>
      <c r="G55" s="126">
        <v>19.16</v>
      </c>
      <c r="H55" s="126">
        <f>ROUND(F55*G55,2)</f>
        <v>1696.43</v>
      </c>
      <c r="J55" s="77"/>
    </row>
    <row r="56" spans="1:13" s="5" customFormat="1" x14ac:dyDescent="0.2">
      <c r="A56" s="127">
        <v>7100100320</v>
      </c>
      <c r="B56" s="127" t="s">
        <v>289</v>
      </c>
      <c r="C56" s="128" t="s">
        <v>206</v>
      </c>
      <c r="D56" s="129" t="s">
        <v>129</v>
      </c>
      <c r="E56" s="132" t="s">
        <v>30</v>
      </c>
      <c r="F56" s="126">
        <f>'MEMÓRIA DE CÁLCULO'!L94</f>
        <v>88.54</v>
      </c>
      <c r="G56" s="126">
        <v>20.100000000000001</v>
      </c>
      <c r="H56" s="126">
        <f>ROUND(F56*G56,2)</f>
        <v>1779.65</v>
      </c>
      <c r="J56" s="77"/>
    </row>
    <row r="57" spans="1:13" s="5" customFormat="1" x14ac:dyDescent="0.2">
      <c r="A57" s="133">
        <v>7140100090</v>
      </c>
      <c r="B57" s="127" t="s">
        <v>289</v>
      </c>
      <c r="C57" s="128" t="s">
        <v>207</v>
      </c>
      <c r="D57" s="129" t="s">
        <v>130</v>
      </c>
      <c r="E57" s="132" t="s">
        <v>120</v>
      </c>
      <c r="F57" s="126">
        <f>'MEMÓRIA DE CÁLCULO'!L105</f>
        <v>1</v>
      </c>
      <c r="G57" s="126">
        <v>426.09</v>
      </c>
      <c r="H57" s="126">
        <f t="shared" ref="H57:H69" si="3">ROUND(F57*G57,2)</f>
        <v>426.09</v>
      </c>
      <c r="J57" s="77"/>
    </row>
    <row r="58" spans="1:13" s="5" customFormat="1" x14ac:dyDescent="0.2">
      <c r="A58" s="127">
        <v>7120100010</v>
      </c>
      <c r="B58" s="127" t="s">
        <v>289</v>
      </c>
      <c r="C58" s="128" t="s">
        <v>208</v>
      </c>
      <c r="D58" s="129" t="s">
        <v>131</v>
      </c>
      <c r="E58" s="132" t="s">
        <v>30</v>
      </c>
      <c r="F58" s="126">
        <f>'MEMÓRIA DE CÁLCULO'!L106</f>
        <v>2.73</v>
      </c>
      <c r="G58" s="126">
        <v>345</v>
      </c>
      <c r="H58" s="126">
        <f t="shared" si="3"/>
        <v>941.85</v>
      </c>
      <c r="J58" s="77"/>
    </row>
    <row r="59" spans="1:13" s="5" customFormat="1" x14ac:dyDescent="0.2">
      <c r="A59" s="127">
        <v>7100100080</v>
      </c>
      <c r="B59" s="127" t="s">
        <v>289</v>
      </c>
      <c r="C59" s="128" t="s">
        <v>209</v>
      </c>
      <c r="D59" s="129" t="s">
        <v>142</v>
      </c>
      <c r="E59" s="132" t="s">
        <v>27</v>
      </c>
      <c r="F59" s="126">
        <f>'MEMÓRIA DE CÁLCULO'!L110</f>
        <v>12.5</v>
      </c>
      <c r="G59" s="126">
        <v>15.35</v>
      </c>
      <c r="H59" s="126">
        <f t="shared" si="3"/>
        <v>191.88</v>
      </c>
      <c r="J59" s="77"/>
    </row>
    <row r="60" spans="1:13" s="5" customFormat="1" x14ac:dyDescent="0.2">
      <c r="A60" s="127">
        <v>7100100420</v>
      </c>
      <c r="B60" s="127" t="s">
        <v>289</v>
      </c>
      <c r="C60" s="128" t="s">
        <v>210</v>
      </c>
      <c r="D60" s="129" t="s">
        <v>63</v>
      </c>
      <c r="E60" s="132" t="s">
        <v>30</v>
      </c>
      <c r="F60" s="126">
        <f>'MEMÓRIA DE CÁLCULO'!L111</f>
        <v>0.69</v>
      </c>
      <c r="G60" s="126">
        <v>389.19</v>
      </c>
      <c r="H60" s="126">
        <f t="shared" si="3"/>
        <v>268.54000000000002</v>
      </c>
      <c r="J60" s="77"/>
    </row>
    <row r="61" spans="1:13" s="5" customFormat="1" ht="48" x14ac:dyDescent="0.2">
      <c r="A61" s="127">
        <v>170136</v>
      </c>
      <c r="B61" s="127" t="s">
        <v>138</v>
      </c>
      <c r="C61" s="128" t="s">
        <v>117</v>
      </c>
      <c r="D61" s="129" t="s">
        <v>148</v>
      </c>
      <c r="E61" s="132" t="s">
        <v>120</v>
      </c>
      <c r="F61" s="126">
        <f>'MEMÓRIA DE CÁLCULO'!L112</f>
        <v>1</v>
      </c>
      <c r="G61" s="126">
        <v>1072.3399999999999</v>
      </c>
      <c r="H61" s="126">
        <f t="shared" si="3"/>
        <v>1072.3399999999999</v>
      </c>
      <c r="J61" s="77"/>
    </row>
    <row r="62" spans="1:13" s="5" customFormat="1" x14ac:dyDescent="0.2">
      <c r="A62" s="127">
        <v>7030100300</v>
      </c>
      <c r="B62" s="127" t="s">
        <v>289</v>
      </c>
      <c r="C62" s="128" t="s">
        <v>211</v>
      </c>
      <c r="D62" s="129" t="s">
        <v>187</v>
      </c>
      <c r="E62" s="132" t="s">
        <v>119</v>
      </c>
      <c r="F62" s="126">
        <f>'MEMÓRIA DE CÁLCULO'!L113</f>
        <v>1</v>
      </c>
      <c r="G62" s="126">
        <v>60.4</v>
      </c>
      <c r="H62" s="126">
        <f t="shared" si="3"/>
        <v>60.4</v>
      </c>
      <c r="J62" s="77"/>
    </row>
    <row r="63" spans="1:13" s="5" customFormat="1" ht="24.75" customHeight="1" x14ac:dyDescent="0.2">
      <c r="A63" s="127">
        <v>71107</v>
      </c>
      <c r="B63" s="127" t="s">
        <v>138</v>
      </c>
      <c r="C63" s="128" t="s">
        <v>179</v>
      </c>
      <c r="D63" s="129" t="s">
        <v>145</v>
      </c>
      <c r="E63" s="132" t="s">
        <v>30</v>
      </c>
      <c r="F63" s="126">
        <f>'MEMÓRIA DE CÁLCULO'!L114</f>
        <v>1.47</v>
      </c>
      <c r="G63" s="126">
        <v>787.36</v>
      </c>
      <c r="H63" s="126">
        <f t="shared" si="3"/>
        <v>1157.42</v>
      </c>
      <c r="I63" s="25"/>
      <c r="J63" s="77"/>
      <c r="K63" s="26"/>
      <c r="L63" s="27"/>
      <c r="M63" s="24"/>
    </row>
    <row r="64" spans="1:13" s="5" customFormat="1" x14ac:dyDescent="0.2">
      <c r="A64" s="385" t="s">
        <v>160</v>
      </c>
      <c r="B64" s="385"/>
      <c r="C64" s="128" t="s">
        <v>180</v>
      </c>
      <c r="D64" s="129" t="s">
        <v>64</v>
      </c>
      <c r="E64" s="132" t="s">
        <v>120</v>
      </c>
      <c r="F64" s="126">
        <f>'MEMÓRIA DE CÁLCULO'!L115</f>
        <v>1</v>
      </c>
      <c r="G64" s="126">
        <f>'COMP 7'!F25</f>
        <v>350.88</v>
      </c>
      <c r="H64" s="126">
        <f t="shared" si="3"/>
        <v>350.88</v>
      </c>
      <c r="J64" s="77"/>
    </row>
    <row r="65" spans="1:11" s="5" customFormat="1" x14ac:dyDescent="0.2">
      <c r="A65" s="385" t="s">
        <v>121</v>
      </c>
      <c r="B65" s="385"/>
      <c r="C65" s="128" t="s">
        <v>212</v>
      </c>
      <c r="D65" s="129" t="s">
        <v>65</v>
      </c>
      <c r="E65" s="132" t="s">
        <v>120</v>
      </c>
      <c r="F65" s="126">
        <f>'MEMÓRIA DE CÁLCULO'!L116</f>
        <v>1</v>
      </c>
      <c r="G65" s="126">
        <f>'COMP 8'!F26</f>
        <v>627.23</v>
      </c>
      <c r="H65" s="126">
        <f t="shared" si="3"/>
        <v>627.23</v>
      </c>
      <c r="J65" s="77"/>
    </row>
    <row r="66" spans="1:11" s="5" customFormat="1" ht="25.5" customHeight="1" x14ac:dyDescent="0.2">
      <c r="A66" s="385" t="s">
        <v>122</v>
      </c>
      <c r="B66" s="385"/>
      <c r="C66" s="128" t="s">
        <v>213</v>
      </c>
      <c r="D66" s="129" t="s">
        <v>66</v>
      </c>
      <c r="E66" s="132" t="s">
        <v>120</v>
      </c>
      <c r="F66" s="126">
        <f>'MEMÓRIA DE CÁLCULO'!L117</f>
        <v>1</v>
      </c>
      <c r="G66" s="126">
        <f>'COMP 9'!F29</f>
        <v>10136.75</v>
      </c>
      <c r="H66" s="126">
        <f t="shared" si="3"/>
        <v>10136.75</v>
      </c>
      <c r="J66" s="77"/>
    </row>
    <row r="67" spans="1:11" s="5" customFormat="1" x14ac:dyDescent="0.2">
      <c r="A67" s="385" t="s">
        <v>161</v>
      </c>
      <c r="B67" s="385"/>
      <c r="C67" s="128" t="s">
        <v>214</v>
      </c>
      <c r="D67" s="129" t="s">
        <v>67</v>
      </c>
      <c r="E67" s="132" t="s">
        <v>120</v>
      </c>
      <c r="F67" s="126">
        <f>'MEMÓRIA DE CÁLCULO'!L118</f>
        <v>1</v>
      </c>
      <c r="G67" s="126">
        <f>'COMP 10'!F16</f>
        <v>4664.66</v>
      </c>
      <c r="H67" s="126">
        <f t="shared" si="3"/>
        <v>4664.66</v>
      </c>
      <c r="J67" s="77"/>
    </row>
    <row r="68" spans="1:11" s="5" customFormat="1" x14ac:dyDescent="0.2">
      <c r="A68" s="127">
        <v>7120100040</v>
      </c>
      <c r="B68" s="127" t="s">
        <v>289</v>
      </c>
      <c r="C68" s="128" t="s">
        <v>215</v>
      </c>
      <c r="D68" s="129" t="s">
        <v>188</v>
      </c>
      <c r="E68" s="132" t="s">
        <v>30</v>
      </c>
      <c r="F68" s="126">
        <f>'MEMÓRIA DE CÁLCULO'!L119</f>
        <v>1</v>
      </c>
      <c r="G68" s="126">
        <v>641.94000000000005</v>
      </c>
      <c r="H68" s="126">
        <f t="shared" si="3"/>
        <v>641.94000000000005</v>
      </c>
      <c r="J68" s="77"/>
    </row>
    <row r="69" spans="1:11" s="5" customFormat="1" ht="53.25" customHeight="1" x14ac:dyDescent="0.2">
      <c r="A69" s="127">
        <v>140108</v>
      </c>
      <c r="B69" s="127" t="s">
        <v>138</v>
      </c>
      <c r="C69" s="128" t="s">
        <v>118</v>
      </c>
      <c r="D69" s="129" t="s">
        <v>146</v>
      </c>
      <c r="E69" s="132" t="s">
        <v>120</v>
      </c>
      <c r="F69" s="126">
        <f>'MEMÓRIA DE CÁLCULO'!L120</f>
        <v>1</v>
      </c>
      <c r="G69" s="126">
        <f>(4252.81/1.309)*1.2619</f>
        <v>4099.7868135981671</v>
      </c>
      <c r="H69" s="126">
        <f t="shared" si="3"/>
        <v>4099.79</v>
      </c>
      <c r="J69" s="77"/>
    </row>
    <row r="70" spans="1:11" s="5" customFormat="1" ht="6" customHeight="1" x14ac:dyDescent="0.2">
      <c r="A70" s="369"/>
      <c r="B70" s="369"/>
      <c r="C70" s="370"/>
      <c r="D70" s="371"/>
      <c r="E70" s="370"/>
      <c r="F70" s="23"/>
      <c r="G70" s="23"/>
      <c r="H70" s="23"/>
      <c r="J70" s="77"/>
    </row>
    <row r="71" spans="1:11" s="5" customFormat="1" x14ac:dyDescent="0.2">
      <c r="A71" s="366"/>
      <c r="B71" s="366"/>
      <c r="C71" s="29">
        <v>6</v>
      </c>
      <c r="D71" s="30" t="s">
        <v>78</v>
      </c>
      <c r="E71" s="372" t="s">
        <v>10</v>
      </c>
      <c r="F71" s="368"/>
      <c r="G71" s="368" t="s">
        <v>10</v>
      </c>
      <c r="H71" s="33">
        <f>SUM(H72:H78)</f>
        <v>15745.62</v>
      </c>
      <c r="J71" s="77"/>
      <c r="K71" s="135"/>
    </row>
    <row r="72" spans="1:11" s="5" customFormat="1" x14ac:dyDescent="0.2">
      <c r="A72" s="127">
        <v>7100100070</v>
      </c>
      <c r="B72" s="127" t="s">
        <v>289</v>
      </c>
      <c r="C72" s="122" t="s">
        <v>216</v>
      </c>
      <c r="D72" s="123" t="s">
        <v>62</v>
      </c>
      <c r="E72" s="132" t="s">
        <v>30</v>
      </c>
      <c r="F72" s="126">
        <f>'MEMÓRIA DE CÁLCULO'!L123</f>
        <v>18.119999999999997</v>
      </c>
      <c r="G72" s="126">
        <v>60.37</v>
      </c>
      <c r="H72" s="126">
        <f t="shared" ref="H72:H78" si="4">ROUND(F72*G72,2)</f>
        <v>1093.9000000000001</v>
      </c>
      <c r="J72" s="77"/>
      <c r="K72" s="135"/>
    </row>
    <row r="73" spans="1:11" s="4" customFormat="1" x14ac:dyDescent="0.2">
      <c r="A73" s="127">
        <v>7100100240</v>
      </c>
      <c r="B73" s="127" t="s">
        <v>289</v>
      </c>
      <c r="C73" s="122" t="s">
        <v>217</v>
      </c>
      <c r="D73" s="123" t="s">
        <v>132</v>
      </c>
      <c r="E73" s="132" t="s">
        <v>30</v>
      </c>
      <c r="F73" s="126">
        <f>'MEMÓRIA DE CÁLCULO'!L124</f>
        <v>36.5184</v>
      </c>
      <c r="G73" s="126">
        <v>12.96</v>
      </c>
      <c r="H73" s="126">
        <f t="shared" si="4"/>
        <v>473.28</v>
      </c>
      <c r="J73" s="77"/>
      <c r="K73" s="136"/>
    </row>
    <row r="74" spans="1:11" s="5" customFormat="1" x14ac:dyDescent="0.2">
      <c r="A74" s="385" t="s">
        <v>158</v>
      </c>
      <c r="B74" s="385"/>
      <c r="C74" s="122" t="s">
        <v>218</v>
      </c>
      <c r="D74" s="123" t="s">
        <v>79</v>
      </c>
      <c r="E74" s="132" t="s">
        <v>30</v>
      </c>
      <c r="F74" s="126">
        <f>'MEMÓRIA DE CÁLCULO'!L125</f>
        <v>55.25</v>
      </c>
      <c r="G74" s="126">
        <f>(2.18*1.269)</f>
        <v>2.7664200000000001</v>
      </c>
      <c r="H74" s="126">
        <f t="shared" si="4"/>
        <v>152.84</v>
      </c>
      <c r="J74" s="77"/>
      <c r="K74" s="135"/>
    </row>
    <row r="75" spans="1:11" s="80" customFormat="1" x14ac:dyDescent="0.2">
      <c r="A75" s="127">
        <v>7160100180</v>
      </c>
      <c r="B75" s="127" t="s">
        <v>289</v>
      </c>
      <c r="C75" s="122" t="s">
        <v>89</v>
      </c>
      <c r="D75" s="123" t="s">
        <v>141</v>
      </c>
      <c r="E75" s="132" t="s">
        <v>29</v>
      </c>
      <c r="F75" s="126">
        <f>'MEMÓRIA DE CÁLCULO'!L127</f>
        <v>1.5</v>
      </c>
      <c r="G75" s="126">
        <v>5752.27</v>
      </c>
      <c r="H75" s="126">
        <f t="shared" si="4"/>
        <v>8628.41</v>
      </c>
      <c r="J75" s="77"/>
      <c r="K75" s="137"/>
    </row>
    <row r="76" spans="1:11" s="5" customFormat="1" ht="13.5" customHeight="1" x14ac:dyDescent="0.2">
      <c r="A76" s="127">
        <v>7030100300</v>
      </c>
      <c r="B76" s="127" t="s">
        <v>289</v>
      </c>
      <c r="C76" s="122" t="s">
        <v>90</v>
      </c>
      <c r="D76" s="129" t="s">
        <v>187</v>
      </c>
      <c r="E76" s="132" t="s">
        <v>119</v>
      </c>
      <c r="F76" s="126">
        <f>'MEMÓRIA DE CÁLCULO'!L128</f>
        <v>2</v>
      </c>
      <c r="G76" s="126">
        <v>60.4</v>
      </c>
      <c r="H76" s="126">
        <f t="shared" si="4"/>
        <v>120.8</v>
      </c>
      <c r="J76" s="77"/>
      <c r="K76" s="135"/>
    </row>
    <row r="77" spans="1:11" s="5" customFormat="1" x14ac:dyDescent="0.2">
      <c r="A77" s="385" t="s">
        <v>163</v>
      </c>
      <c r="B77" s="385"/>
      <c r="C77" s="122" t="s">
        <v>219</v>
      </c>
      <c r="D77" s="123" t="s">
        <v>80</v>
      </c>
      <c r="E77" s="132" t="s">
        <v>120</v>
      </c>
      <c r="F77" s="126">
        <f>'MEMÓRIA DE CÁLCULO'!L129</f>
        <v>1</v>
      </c>
      <c r="G77" s="126">
        <f>'COMP 11'!F15</f>
        <v>1606.7900000000002</v>
      </c>
      <c r="H77" s="126">
        <f t="shared" si="4"/>
        <v>1606.79</v>
      </c>
      <c r="J77" s="77"/>
      <c r="K77" s="135"/>
    </row>
    <row r="78" spans="1:11" s="5" customFormat="1" ht="36" x14ac:dyDescent="0.2">
      <c r="A78" s="373">
        <v>40809</v>
      </c>
      <c r="B78" s="373" t="s">
        <v>138</v>
      </c>
      <c r="C78" s="374" t="s">
        <v>301</v>
      </c>
      <c r="D78" s="375" t="s">
        <v>302</v>
      </c>
      <c r="E78" s="376" t="s">
        <v>30</v>
      </c>
      <c r="F78" s="377">
        <f>'MEMÓRIA DE CÁLCULO'!L130</f>
        <v>10</v>
      </c>
      <c r="G78" s="377">
        <v>366.96</v>
      </c>
      <c r="H78" s="377">
        <f t="shared" si="4"/>
        <v>3669.6</v>
      </c>
      <c r="J78" s="77"/>
      <c r="K78" s="135"/>
    </row>
    <row r="79" spans="1:11" s="5" customFormat="1" ht="6" customHeight="1" x14ac:dyDescent="0.2">
      <c r="A79" s="369"/>
      <c r="B79" s="369"/>
      <c r="C79" s="370"/>
      <c r="D79" s="378"/>
      <c r="E79" s="370"/>
      <c r="F79" s="23"/>
      <c r="G79" s="23"/>
      <c r="H79" s="23"/>
      <c r="J79" s="77"/>
      <c r="K79" s="135"/>
    </row>
    <row r="80" spans="1:11" s="5" customFormat="1" x14ac:dyDescent="0.2">
      <c r="A80" s="366"/>
      <c r="B80" s="366"/>
      <c r="C80" s="29">
        <v>7</v>
      </c>
      <c r="D80" s="30" t="s">
        <v>81</v>
      </c>
      <c r="E80" s="372" t="s">
        <v>10</v>
      </c>
      <c r="F80" s="368" t="s">
        <v>10</v>
      </c>
      <c r="G80" s="368" t="s">
        <v>10</v>
      </c>
      <c r="H80" s="33">
        <f>SUM(H81:H82)</f>
        <v>9392.1400000000012</v>
      </c>
      <c r="J80" s="77"/>
      <c r="K80" s="135"/>
    </row>
    <row r="81" spans="1:10" s="5" customFormat="1" ht="24" x14ac:dyDescent="0.2">
      <c r="A81" s="385" t="s">
        <v>164</v>
      </c>
      <c r="B81" s="385"/>
      <c r="C81" s="122" t="s">
        <v>23</v>
      </c>
      <c r="D81" s="123" t="s">
        <v>82</v>
      </c>
      <c r="E81" s="132" t="s">
        <v>120</v>
      </c>
      <c r="F81" s="126">
        <f>'MEMÓRIA DE CÁLCULO'!L133</f>
        <v>1</v>
      </c>
      <c r="G81" s="126">
        <f>'COMP 12'!F52</f>
        <v>9127.1000000000022</v>
      </c>
      <c r="H81" s="126">
        <f>ROUND(F81*G81,2)</f>
        <v>9127.1</v>
      </c>
      <c r="I81" s="350"/>
      <c r="J81" s="77"/>
    </row>
    <row r="82" spans="1:10" s="5" customFormat="1" ht="13.5" customHeight="1" x14ac:dyDescent="0.2">
      <c r="A82" s="385" t="s">
        <v>156</v>
      </c>
      <c r="B82" s="385"/>
      <c r="C82" s="122" t="s">
        <v>95</v>
      </c>
      <c r="D82" s="123" t="s">
        <v>50</v>
      </c>
      <c r="E82" s="132" t="s">
        <v>120</v>
      </c>
      <c r="F82" s="126">
        <f>'MEMÓRIA DE CÁLCULO'!L134</f>
        <v>1</v>
      </c>
      <c r="G82" s="126">
        <f>'COMP 1'!F14</f>
        <v>265.04000000000002</v>
      </c>
      <c r="H82" s="126">
        <f>ROUND(F82*G82,2)</f>
        <v>265.04000000000002</v>
      </c>
      <c r="J82" s="77"/>
    </row>
    <row r="83" spans="1:10" s="4" customFormat="1" ht="6" customHeight="1" x14ac:dyDescent="0.2">
      <c r="A83" s="369"/>
      <c r="B83" s="369"/>
      <c r="C83" s="379"/>
      <c r="D83" s="35"/>
      <c r="E83" s="36"/>
      <c r="F83" s="37"/>
      <c r="G83" s="23"/>
      <c r="H83" s="37"/>
      <c r="J83" s="77"/>
    </row>
    <row r="84" spans="1:10" s="4" customFormat="1" x14ac:dyDescent="0.2">
      <c r="A84" s="28"/>
      <c r="B84" s="28"/>
      <c r="C84" s="380">
        <v>8</v>
      </c>
      <c r="D84" s="30" t="s">
        <v>87</v>
      </c>
      <c r="E84" s="31"/>
      <c r="F84" s="32"/>
      <c r="G84" s="32"/>
      <c r="H84" s="33">
        <f>SUM(H85:H96)</f>
        <v>13522.2</v>
      </c>
      <c r="J84" s="77"/>
    </row>
    <row r="85" spans="1:10" s="4" customFormat="1" x14ac:dyDescent="0.2">
      <c r="A85" s="127">
        <v>7120100010</v>
      </c>
      <c r="B85" s="127" t="s">
        <v>289</v>
      </c>
      <c r="C85" s="122" t="s">
        <v>24</v>
      </c>
      <c r="D85" s="123" t="s">
        <v>144</v>
      </c>
      <c r="E85" s="124" t="s">
        <v>30</v>
      </c>
      <c r="F85" s="126">
        <f>'MEMÓRIA DE CÁLCULO'!L137</f>
        <v>3.2</v>
      </c>
      <c r="G85" s="126">
        <v>345</v>
      </c>
      <c r="H85" s="126">
        <f t="shared" ref="H85:H96" si="5">ROUND(F85*G85,2)</f>
        <v>1104</v>
      </c>
      <c r="J85" s="77"/>
    </row>
    <row r="86" spans="1:10" s="4" customFormat="1" ht="34.5" customHeight="1" x14ac:dyDescent="0.2">
      <c r="A86" s="127" t="s">
        <v>157</v>
      </c>
      <c r="B86" s="127" t="s">
        <v>290</v>
      </c>
      <c r="C86" s="122" t="s">
        <v>173</v>
      </c>
      <c r="D86" s="129" t="s">
        <v>159</v>
      </c>
      <c r="E86" s="124" t="s">
        <v>30</v>
      </c>
      <c r="F86" s="126">
        <f>'MEMÓRIA DE CÁLCULO'!L138</f>
        <v>4.5</v>
      </c>
      <c r="G86" s="126">
        <f>ROUND(38.5*1.2619,2)</f>
        <v>48.58</v>
      </c>
      <c r="H86" s="126">
        <f>ROUND(F86*G86,2)</f>
        <v>218.61</v>
      </c>
      <c r="J86" s="77"/>
    </row>
    <row r="87" spans="1:10" s="4" customFormat="1" x14ac:dyDescent="0.2">
      <c r="A87" s="127">
        <v>7090100260</v>
      </c>
      <c r="B87" s="127" t="s">
        <v>289</v>
      </c>
      <c r="C87" s="122" t="s">
        <v>97</v>
      </c>
      <c r="D87" s="129" t="s">
        <v>191</v>
      </c>
      <c r="E87" s="128" t="s">
        <v>30</v>
      </c>
      <c r="F87" s="131">
        <f>'MEMÓRIA DE CÁLCULO'!L139</f>
        <v>1.5</v>
      </c>
      <c r="G87" s="126">
        <v>50.48</v>
      </c>
      <c r="H87" s="126">
        <f>ROUND(F87*G87,2)</f>
        <v>75.72</v>
      </c>
      <c r="J87" s="77"/>
    </row>
    <row r="88" spans="1:10" s="4" customFormat="1" x14ac:dyDescent="0.2">
      <c r="A88" s="385" t="s">
        <v>158</v>
      </c>
      <c r="B88" s="385"/>
      <c r="C88" s="122" t="s">
        <v>98</v>
      </c>
      <c r="D88" s="129" t="s">
        <v>185</v>
      </c>
      <c r="E88" s="128" t="s">
        <v>27</v>
      </c>
      <c r="F88" s="131">
        <f>'MEMÓRIA DE CÁLCULO'!L140</f>
        <v>7</v>
      </c>
      <c r="G88" s="126">
        <v>2.5499999999999998</v>
      </c>
      <c r="H88" s="126">
        <f t="shared" si="5"/>
        <v>17.850000000000001</v>
      </c>
      <c r="J88" s="77"/>
    </row>
    <row r="89" spans="1:10" s="4" customFormat="1" x14ac:dyDescent="0.2">
      <c r="A89" s="127">
        <v>27677</v>
      </c>
      <c r="B89" s="127" t="s">
        <v>138</v>
      </c>
      <c r="C89" s="122" t="s">
        <v>174</v>
      </c>
      <c r="D89" s="129" t="s">
        <v>186</v>
      </c>
      <c r="E89" s="128" t="s">
        <v>30</v>
      </c>
      <c r="F89" s="131">
        <f>'MEMÓRIA DE CÁLCULO'!L141</f>
        <v>1.2</v>
      </c>
      <c r="G89" s="131">
        <f>ROUND((6.65/1.309)*(1.2619),2)</f>
        <v>6.41</v>
      </c>
      <c r="H89" s="126">
        <f t="shared" si="5"/>
        <v>7.69</v>
      </c>
      <c r="J89" s="77"/>
    </row>
    <row r="90" spans="1:10" s="4" customFormat="1" x14ac:dyDescent="0.2">
      <c r="A90" s="127">
        <v>7100100220</v>
      </c>
      <c r="B90" s="127" t="s">
        <v>289</v>
      </c>
      <c r="C90" s="122" t="s">
        <v>175</v>
      </c>
      <c r="D90" s="129" t="s">
        <v>190</v>
      </c>
      <c r="E90" s="127" t="s">
        <v>30</v>
      </c>
      <c r="F90" s="131">
        <f>'MEMÓRIA DE CÁLCULO'!L142</f>
        <v>9.25</v>
      </c>
      <c r="G90" s="126">
        <v>19.16</v>
      </c>
      <c r="H90" s="126">
        <f t="shared" si="5"/>
        <v>177.23</v>
      </c>
      <c r="J90" s="77"/>
    </row>
    <row r="91" spans="1:10" s="4" customFormat="1" x14ac:dyDescent="0.2">
      <c r="A91" s="127">
        <v>7100100310</v>
      </c>
      <c r="B91" s="127" t="s">
        <v>289</v>
      </c>
      <c r="C91" s="122" t="s">
        <v>220</v>
      </c>
      <c r="D91" s="123" t="s">
        <v>133</v>
      </c>
      <c r="E91" s="124" t="s">
        <v>30</v>
      </c>
      <c r="F91" s="126">
        <f>'MEMÓRIA DE CÁLCULO'!L143</f>
        <v>1.35</v>
      </c>
      <c r="G91" s="126">
        <v>32.72</v>
      </c>
      <c r="H91" s="126">
        <f t="shared" si="5"/>
        <v>44.17</v>
      </c>
      <c r="J91" s="77"/>
    </row>
    <row r="92" spans="1:10" s="4" customFormat="1" x14ac:dyDescent="0.2">
      <c r="A92" s="127">
        <v>7100100340</v>
      </c>
      <c r="B92" s="127" t="s">
        <v>289</v>
      </c>
      <c r="C92" s="122" t="s">
        <v>221</v>
      </c>
      <c r="D92" s="123" t="s">
        <v>134</v>
      </c>
      <c r="E92" s="124" t="s">
        <v>30</v>
      </c>
      <c r="F92" s="126">
        <f>'MEMÓRIA DE CÁLCULO'!L146</f>
        <v>3.2</v>
      </c>
      <c r="G92" s="126">
        <v>22.7</v>
      </c>
      <c r="H92" s="126">
        <f t="shared" si="5"/>
        <v>72.64</v>
      </c>
      <c r="J92" s="77"/>
    </row>
    <row r="93" spans="1:10" s="4" customFormat="1" x14ac:dyDescent="0.2">
      <c r="A93" s="127">
        <v>7100100350</v>
      </c>
      <c r="B93" s="127" t="s">
        <v>289</v>
      </c>
      <c r="C93" s="122" t="s">
        <v>222</v>
      </c>
      <c r="D93" s="123" t="s">
        <v>135</v>
      </c>
      <c r="E93" s="124" t="s">
        <v>30</v>
      </c>
      <c r="F93" s="126">
        <f>'MEMÓRIA DE CÁLCULO'!L147</f>
        <v>18.5</v>
      </c>
      <c r="G93" s="126">
        <v>17.760000000000002</v>
      </c>
      <c r="H93" s="126">
        <f t="shared" si="5"/>
        <v>328.56</v>
      </c>
      <c r="J93" s="77"/>
    </row>
    <row r="94" spans="1:10" s="4" customFormat="1" ht="24" x14ac:dyDescent="0.2">
      <c r="A94" s="385" t="s">
        <v>165</v>
      </c>
      <c r="B94" s="385"/>
      <c r="C94" s="122" t="s">
        <v>99</v>
      </c>
      <c r="D94" s="123" t="s">
        <v>51</v>
      </c>
      <c r="E94" s="124" t="s">
        <v>120</v>
      </c>
      <c r="F94" s="126">
        <f>'MEMÓRIA DE CÁLCULO'!L148</f>
        <v>1</v>
      </c>
      <c r="G94" s="381">
        <f>'COMP 13'!F58</f>
        <v>3889.0700000000006</v>
      </c>
      <c r="H94" s="126">
        <f t="shared" si="5"/>
        <v>3889.07</v>
      </c>
      <c r="J94" s="77"/>
    </row>
    <row r="95" spans="1:10" s="4" customFormat="1" ht="48" x14ac:dyDescent="0.2">
      <c r="A95" s="385" t="s">
        <v>166</v>
      </c>
      <c r="B95" s="385"/>
      <c r="C95" s="122" t="s">
        <v>176</v>
      </c>
      <c r="D95" s="123" t="s">
        <v>88</v>
      </c>
      <c r="E95" s="124" t="s">
        <v>120</v>
      </c>
      <c r="F95" s="126">
        <f>'MEMÓRIA DE CÁLCULO'!L149</f>
        <v>1</v>
      </c>
      <c r="G95" s="126">
        <f>'COMP 14'!F28</f>
        <v>5669.51</v>
      </c>
      <c r="H95" s="126">
        <f t="shared" si="5"/>
        <v>5669.51</v>
      </c>
      <c r="J95" s="77"/>
    </row>
    <row r="96" spans="1:10" s="4" customFormat="1" x14ac:dyDescent="0.2">
      <c r="A96" s="127">
        <v>7010100140</v>
      </c>
      <c r="B96" s="127" t="s">
        <v>289</v>
      </c>
      <c r="C96" s="122" t="s">
        <v>177</v>
      </c>
      <c r="D96" s="123" t="s">
        <v>150</v>
      </c>
      <c r="E96" s="124" t="s">
        <v>120</v>
      </c>
      <c r="F96" s="126">
        <f>'MEMÓRIA DE CÁLCULO'!L150</f>
        <v>1</v>
      </c>
      <c r="G96" s="382">
        <v>1917.15</v>
      </c>
      <c r="H96" s="126">
        <f t="shared" si="5"/>
        <v>1917.15</v>
      </c>
      <c r="J96" s="77"/>
    </row>
    <row r="97" spans="1:10" s="4" customFormat="1" ht="6" customHeight="1" x14ac:dyDescent="0.2">
      <c r="A97" s="369"/>
      <c r="B97" s="369"/>
      <c r="C97" s="379"/>
      <c r="D97" s="35"/>
      <c r="E97" s="36"/>
      <c r="F97" s="37"/>
      <c r="G97" s="23"/>
      <c r="H97" s="37"/>
      <c r="J97" s="77"/>
    </row>
    <row r="98" spans="1:10" s="5" customFormat="1" x14ac:dyDescent="0.2">
      <c r="A98" s="366"/>
      <c r="B98" s="366"/>
      <c r="C98" s="29">
        <v>9</v>
      </c>
      <c r="D98" s="30" t="s">
        <v>91</v>
      </c>
      <c r="E98" s="372" t="s">
        <v>10</v>
      </c>
      <c r="F98" s="368" t="s">
        <v>10</v>
      </c>
      <c r="G98" s="368" t="s">
        <v>10</v>
      </c>
      <c r="H98" s="33">
        <f>SUM(H99:H105)</f>
        <v>33662.770000000004</v>
      </c>
      <c r="J98" s="77"/>
    </row>
    <row r="99" spans="1:10" s="5" customFormat="1" ht="36" customHeight="1" x14ac:dyDescent="0.2">
      <c r="A99" s="385" t="s">
        <v>178</v>
      </c>
      <c r="B99" s="385"/>
      <c r="C99" s="122" t="s">
        <v>25</v>
      </c>
      <c r="D99" s="123" t="s">
        <v>92</v>
      </c>
      <c r="E99" s="124" t="s">
        <v>120</v>
      </c>
      <c r="F99" s="126">
        <f>'MEMÓRIA DE CÁLCULO'!L153</f>
        <v>3</v>
      </c>
      <c r="G99" s="126">
        <f>'COMP 15'!F19</f>
        <v>7158.3</v>
      </c>
      <c r="H99" s="126">
        <f t="shared" ref="H99:H105" si="6">ROUND(F99*G99,2)</f>
        <v>21474.9</v>
      </c>
      <c r="I99" s="351"/>
      <c r="J99" s="77"/>
    </row>
    <row r="100" spans="1:10" s="5" customFormat="1" x14ac:dyDescent="0.2">
      <c r="A100" s="127">
        <v>7070100130</v>
      </c>
      <c r="B100" s="127" t="s">
        <v>289</v>
      </c>
      <c r="C100" s="128" t="s">
        <v>0</v>
      </c>
      <c r="D100" s="129" t="s">
        <v>114</v>
      </c>
      <c r="E100" s="128" t="s">
        <v>30</v>
      </c>
      <c r="F100" s="130">
        <f>'MEMÓRIA DE CÁLCULO'!L154</f>
        <v>6.3584999999999994</v>
      </c>
      <c r="G100" s="126">
        <v>105.41</v>
      </c>
      <c r="H100" s="126">
        <f t="shared" si="6"/>
        <v>670.25</v>
      </c>
      <c r="J100" s="77"/>
    </row>
    <row r="101" spans="1:10" s="5" customFormat="1" ht="48" x14ac:dyDescent="0.2">
      <c r="A101" s="127">
        <v>7070100230</v>
      </c>
      <c r="B101" s="127" t="s">
        <v>289</v>
      </c>
      <c r="C101" s="122" t="s">
        <v>14</v>
      </c>
      <c r="D101" s="123" t="s">
        <v>57</v>
      </c>
      <c r="E101" s="124" t="s">
        <v>29</v>
      </c>
      <c r="F101" s="126">
        <f>'MEMÓRIA DE CÁLCULO'!L156</f>
        <v>7.17</v>
      </c>
      <c r="G101" s="126">
        <v>492.8</v>
      </c>
      <c r="H101" s="126">
        <f t="shared" si="6"/>
        <v>3533.38</v>
      </c>
      <c r="J101" s="77"/>
    </row>
    <row r="102" spans="1:10" s="5" customFormat="1" x14ac:dyDescent="0.2">
      <c r="A102" s="127">
        <v>7070100200</v>
      </c>
      <c r="B102" s="127" t="s">
        <v>289</v>
      </c>
      <c r="C102" s="128" t="s">
        <v>1</v>
      </c>
      <c r="D102" s="129" t="s">
        <v>115</v>
      </c>
      <c r="E102" s="128" t="s">
        <v>28</v>
      </c>
      <c r="F102" s="126">
        <f>'MEMÓRIA DE CÁLCULO'!L158</f>
        <v>219.63</v>
      </c>
      <c r="G102" s="126">
        <v>9.94</v>
      </c>
      <c r="H102" s="126">
        <f t="shared" si="6"/>
        <v>2183.12</v>
      </c>
      <c r="J102" s="77"/>
    </row>
    <row r="103" spans="1:10" s="5" customFormat="1" ht="18" customHeight="1" x14ac:dyDescent="0.2">
      <c r="A103" s="385" t="s">
        <v>167</v>
      </c>
      <c r="B103" s="385"/>
      <c r="C103" s="122" t="s">
        <v>45</v>
      </c>
      <c r="D103" s="123" t="s">
        <v>50</v>
      </c>
      <c r="E103" s="124" t="s">
        <v>120</v>
      </c>
      <c r="F103" s="126">
        <f>'MEMÓRIA DE CÁLCULO'!L160</f>
        <v>3</v>
      </c>
      <c r="G103" s="126">
        <f>'COMP 1'!F14</f>
        <v>265.04000000000002</v>
      </c>
      <c r="H103" s="126">
        <f t="shared" si="6"/>
        <v>795.12</v>
      </c>
      <c r="J103" s="77"/>
    </row>
    <row r="104" spans="1:10" s="5" customFormat="1" ht="24" x14ac:dyDescent="0.2">
      <c r="A104" s="385" t="s">
        <v>170</v>
      </c>
      <c r="B104" s="385"/>
      <c r="C104" s="122" t="s">
        <v>223</v>
      </c>
      <c r="D104" s="123" t="s">
        <v>93</v>
      </c>
      <c r="E104" s="124" t="s">
        <v>120</v>
      </c>
      <c r="F104" s="126">
        <f>'MEMÓRIA DE CÁLCULO'!L161</f>
        <v>1</v>
      </c>
      <c r="G104" s="126">
        <f>'COMP 16'!F18</f>
        <v>1147.7</v>
      </c>
      <c r="H104" s="126">
        <f t="shared" si="6"/>
        <v>1147.7</v>
      </c>
      <c r="I104" s="135"/>
      <c r="J104" s="77"/>
    </row>
    <row r="105" spans="1:10" s="5" customFormat="1" ht="36" customHeight="1" x14ac:dyDescent="0.2">
      <c r="A105" s="385" t="s">
        <v>171</v>
      </c>
      <c r="B105" s="385"/>
      <c r="C105" s="122" t="s">
        <v>224</v>
      </c>
      <c r="D105" s="123" t="s">
        <v>94</v>
      </c>
      <c r="E105" s="124" t="s">
        <v>120</v>
      </c>
      <c r="F105" s="126">
        <f>'MEMÓRIA DE CÁLCULO'!L162</f>
        <v>1</v>
      </c>
      <c r="G105" s="126">
        <f>'COMP 17'!F19</f>
        <v>3858.2999999999997</v>
      </c>
      <c r="H105" s="126">
        <f t="shared" si="6"/>
        <v>3858.3</v>
      </c>
      <c r="I105" s="352"/>
      <c r="J105" s="77"/>
    </row>
    <row r="106" spans="1:10" s="4" customFormat="1" ht="6" customHeight="1" x14ac:dyDescent="0.2">
      <c r="A106" s="369"/>
      <c r="B106" s="369"/>
      <c r="C106" s="379"/>
      <c r="D106" s="35"/>
      <c r="E106" s="36"/>
      <c r="F106" s="37"/>
      <c r="G106" s="23"/>
      <c r="H106" s="37"/>
      <c r="I106" s="136"/>
      <c r="J106" s="77"/>
    </row>
    <row r="107" spans="1:10" s="5" customFormat="1" x14ac:dyDescent="0.2">
      <c r="A107" s="383"/>
      <c r="B107" s="383"/>
      <c r="C107" s="29">
        <v>10</v>
      </c>
      <c r="D107" s="30" t="s">
        <v>96</v>
      </c>
      <c r="E107" s="372"/>
      <c r="F107" s="368"/>
      <c r="G107" s="368"/>
      <c r="H107" s="33">
        <f>SUM(H108:H120)</f>
        <v>39626.04</v>
      </c>
      <c r="I107" s="135"/>
      <c r="J107" s="77"/>
    </row>
    <row r="108" spans="1:10" s="5" customFormat="1" x14ac:dyDescent="0.2">
      <c r="A108" s="121">
        <v>7030100490</v>
      </c>
      <c r="B108" s="121" t="s">
        <v>289</v>
      </c>
      <c r="C108" s="122" t="s">
        <v>2</v>
      </c>
      <c r="D108" s="123" t="s">
        <v>100</v>
      </c>
      <c r="E108" s="124" t="s">
        <v>38</v>
      </c>
      <c r="F108" s="125">
        <f>'MEMÓRIA DE CÁLCULO'!L165</f>
        <v>1</v>
      </c>
      <c r="G108" s="125">
        <v>9.16</v>
      </c>
      <c r="H108" s="126">
        <f t="shared" ref="H108:H120" si="7">ROUND(F108*G108,2)</f>
        <v>9.16</v>
      </c>
      <c r="I108" s="135"/>
      <c r="J108" s="77"/>
    </row>
    <row r="109" spans="1:10" s="5" customFormat="1" x14ac:dyDescent="0.2">
      <c r="A109" s="127">
        <v>7040100060</v>
      </c>
      <c r="B109" s="127" t="s">
        <v>289</v>
      </c>
      <c r="C109" s="122" t="s">
        <v>225</v>
      </c>
      <c r="D109" s="123" t="s">
        <v>136</v>
      </c>
      <c r="E109" s="124" t="s">
        <v>29</v>
      </c>
      <c r="F109" s="125">
        <f>'MEMÓRIA DE CÁLCULO'!L166</f>
        <v>122.88</v>
      </c>
      <c r="G109" s="126">
        <v>9.85</v>
      </c>
      <c r="H109" s="126">
        <f t="shared" si="7"/>
        <v>1210.3699999999999</v>
      </c>
      <c r="I109" s="135"/>
      <c r="J109" s="77"/>
    </row>
    <row r="110" spans="1:10" s="5" customFormat="1" x14ac:dyDescent="0.2">
      <c r="A110" s="127">
        <v>7040100180</v>
      </c>
      <c r="B110" s="127" t="s">
        <v>289</v>
      </c>
      <c r="C110" s="122" t="s">
        <v>226</v>
      </c>
      <c r="D110" s="123" t="s">
        <v>101</v>
      </c>
      <c r="E110" s="124" t="s">
        <v>29</v>
      </c>
      <c r="F110" s="126">
        <f>'MEMÓRIA DE CÁLCULO'!L167</f>
        <v>40.96</v>
      </c>
      <c r="G110" s="126">
        <v>7.55</v>
      </c>
      <c r="H110" s="126">
        <f t="shared" si="7"/>
        <v>309.25</v>
      </c>
      <c r="I110" s="135"/>
      <c r="J110" s="77"/>
    </row>
    <row r="111" spans="1:10" s="5" customFormat="1" x14ac:dyDescent="0.2">
      <c r="A111" s="127">
        <v>7040100210</v>
      </c>
      <c r="B111" s="127" t="s">
        <v>289</v>
      </c>
      <c r="C111" s="122" t="s">
        <v>31</v>
      </c>
      <c r="D111" s="123" t="s">
        <v>102</v>
      </c>
      <c r="E111" s="124" t="s">
        <v>29</v>
      </c>
      <c r="F111" s="126">
        <f>'MEMÓRIA DE CÁLCULO'!L168</f>
        <v>122.88</v>
      </c>
      <c r="G111" s="126">
        <v>52.85</v>
      </c>
      <c r="H111" s="126">
        <f t="shared" si="7"/>
        <v>6494.21</v>
      </c>
      <c r="J111" s="77"/>
    </row>
    <row r="112" spans="1:10" s="5" customFormat="1" x14ac:dyDescent="0.2">
      <c r="A112" s="127">
        <v>7040100220</v>
      </c>
      <c r="B112" s="127" t="s">
        <v>289</v>
      </c>
      <c r="C112" s="122" t="s">
        <v>227</v>
      </c>
      <c r="D112" s="123" t="s">
        <v>103</v>
      </c>
      <c r="E112" s="124" t="s">
        <v>29</v>
      </c>
      <c r="F112" s="126">
        <f>'MEMÓRIA DE CÁLCULO'!L169</f>
        <v>81.92</v>
      </c>
      <c r="G112" s="126">
        <v>19.03</v>
      </c>
      <c r="H112" s="126">
        <f t="shared" si="7"/>
        <v>1558.94</v>
      </c>
      <c r="J112" s="77"/>
    </row>
    <row r="113" spans="1:10" s="5" customFormat="1" ht="24" customHeight="1" x14ac:dyDescent="0.2">
      <c r="A113" s="127">
        <v>36084</v>
      </c>
      <c r="B113" s="127" t="s">
        <v>290</v>
      </c>
      <c r="C113" s="122" t="s">
        <v>32</v>
      </c>
      <c r="D113" s="123" t="s">
        <v>143</v>
      </c>
      <c r="E113" s="124" t="s">
        <v>27</v>
      </c>
      <c r="F113" s="126">
        <f>'MEMÓRIA DE CÁLCULO'!L170</f>
        <v>16.5</v>
      </c>
      <c r="G113" s="126">
        <f>(11.56*1.2619)</f>
        <v>14.587564</v>
      </c>
      <c r="H113" s="126">
        <f t="shared" si="7"/>
        <v>240.69</v>
      </c>
      <c r="J113" s="77"/>
    </row>
    <row r="114" spans="1:10" s="5" customFormat="1" x14ac:dyDescent="0.2">
      <c r="A114" s="127">
        <v>7170100150</v>
      </c>
      <c r="B114" s="127" t="s">
        <v>289</v>
      </c>
      <c r="C114" s="122" t="s">
        <v>33</v>
      </c>
      <c r="D114" s="123" t="s">
        <v>104</v>
      </c>
      <c r="E114" s="124" t="s">
        <v>27</v>
      </c>
      <c r="F114" s="126">
        <f>'MEMÓRIA DE CÁLCULO'!L171</f>
        <v>16.5</v>
      </c>
      <c r="G114" s="126">
        <v>3.43</v>
      </c>
      <c r="H114" s="126">
        <f>ROUND(F114*G114,2)</f>
        <v>56.6</v>
      </c>
      <c r="J114" s="77"/>
    </row>
    <row r="115" spans="1:10" s="5" customFormat="1" ht="24" x14ac:dyDescent="0.2">
      <c r="A115" s="127">
        <v>9874</v>
      </c>
      <c r="B115" s="127" t="s">
        <v>290</v>
      </c>
      <c r="C115" s="122" t="s">
        <v>34</v>
      </c>
      <c r="D115" s="123" t="s">
        <v>189</v>
      </c>
      <c r="E115" s="124" t="s">
        <v>27</v>
      </c>
      <c r="F115" s="126">
        <f>'MEMÓRIA DE CÁLCULO'!L172</f>
        <v>256</v>
      </c>
      <c r="G115" s="126">
        <f>(9.26*1.2619)</f>
        <v>11.685193999999999</v>
      </c>
      <c r="H115" s="126">
        <f>ROUND(F115*G115,2)</f>
        <v>2991.41</v>
      </c>
      <c r="J115" s="77"/>
    </row>
    <row r="116" spans="1:10" s="5" customFormat="1" x14ac:dyDescent="0.2">
      <c r="A116" s="127">
        <v>7170100490</v>
      </c>
      <c r="B116" s="127" t="s">
        <v>289</v>
      </c>
      <c r="C116" s="122" t="s">
        <v>35</v>
      </c>
      <c r="D116" s="123" t="s">
        <v>105</v>
      </c>
      <c r="E116" s="124" t="s">
        <v>27</v>
      </c>
      <c r="F116" s="126">
        <f>'MEMÓRIA DE CÁLCULO'!L173</f>
        <v>256</v>
      </c>
      <c r="G116" s="126">
        <v>3.43</v>
      </c>
      <c r="H116" s="126">
        <f>ROUND(F116*G116,2)</f>
        <v>878.08</v>
      </c>
      <c r="J116" s="77"/>
    </row>
    <row r="117" spans="1:10" s="5" customFormat="1" ht="48" x14ac:dyDescent="0.2">
      <c r="A117" s="127">
        <v>140713</v>
      </c>
      <c r="B117" s="127" t="s">
        <v>138</v>
      </c>
      <c r="C117" s="122" t="s">
        <v>36</v>
      </c>
      <c r="D117" s="123" t="s">
        <v>147</v>
      </c>
      <c r="E117" s="124" t="s">
        <v>120</v>
      </c>
      <c r="F117" s="126">
        <f>'MEMÓRIA DE CÁLCULO'!L174</f>
        <v>4</v>
      </c>
      <c r="G117" s="126">
        <f>(877.83/1.309)*1.2619</f>
        <v>846.24421466768536</v>
      </c>
      <c r="H117" s="126">
        <f t="shared" si="7"/>
        <v>3384.98</v>
      </c>
      <c r="J117" s="77"/>
    </row>
    <row r="118" spans="1:10" s="5" customFormat="1" ht="24" x14ac:dyDescent="0.2">
      <c r="A118" s="385" t="s">
        <v>172</v>
      </c>
      <c r="B118" s="385"/>
      <c r="C118" s="122" t="s">
        <v>228</v>
      </c>
      <c r="D118" s="123" t="s">
        <v>106</v>
      </c>
      <c r="E118" s="124" t="s">
        <v>120</v>
      </c>
      <c r="F118" s="126">
        <f>'MEMÓRIA DE CÁLCULO'!L175</f>
        <v>1</v>
      </c>
      <c r="G118" s="126">
        <f>'COMP 18'!F17</f>
        <v>419.86000000000007</v>
      </c>
      <c r="H118" s="126">
        <f t="shared" si="7"/>
        <v>419.86</v>
      </c>
      <c r="J118" s="77"/>
    </row>
    <row r="119" spans="1:10" s="5" customFormat="1" x14ac:dyDescent="0.2">
      <c r="A119" s="385" t="s">
        <v>169</v>
      </c>
      <c r="B119" s="385"/>
      <c r="C119" s="122" t="s">
        <v>229</v>
      </c>
      <c r="D119" s="123" t="s">
        <v>107</v>
      </c>
      <c r="E119" s="124" t="s">
        <v>120</v>
      </c>
      <c r="F119" s="126">
        <f>'MEMÓRIA DE CÁLCULO'!L176</f>
        <v>2</v>
      </c>
      <c r="G119" s="126">
        <f>'COMP 20'!F24</f>
        <v>9751.36</v>
      </c>
      <c r="H119" s="126">
        <f t="shared" si="7"/>
        <v>19502.72</v>
      </c>
      <c r="J119" s="77"/>
    </row>
    <row r="120" spans="1:10" s="5" customFormat="1" ht="15" customHeight="1" x14ac:dyDescent="0.2">
      <c r="A120" s="385" t="s">
        <v>168</v>
      </c>
      <c r="B120" s="385"/>
      <c r="C120" s="122" t="s">
        <v>37</v>
      </c>
      <c r="D120" s="123" t="s">
        <v>108</v>
      </c>
      <c r="E120" s="124" t="s">
        <v>120</v>
      </c>
      <c r="F120" s="126">
        <f>'MEMÓRIA DE CÁLCULO'!L177</f>
        <v>3</v>
      </c>
      <c r="G120" s="126">
        <f>'COMP 19'!F17</f>
        <v>856.59000000000015</v>
      </c>
      <c r="H120" s="126">
        <f t="shared" si="7"/>
        <v>2569.77</v>
      </c>
      <c r="J120" s="77"/>
    </row>
    <row r="121" spans="1:10" s="4" customFormat="1" ht="6" customHeight="1" x14ac:dyDescent="0.2">
      <c r="A121" s="369"/>
      <c r="B121" s="369"/>
      <c r="C121" s="379"/>
      <c r="D121" s="35"/>
      <c r="E121" s="36"/>
      <c r="F121" s="37"/>
      <c r="G121" s="23"/>
      <c r="H121" s="37"/>
    </row>
    <row r="122" spans="1:10" s="5" customFormat="1" ht="12.75" customHeight="1" x14ac:dyDescent="0.2">
      <c r="A122" s="396" t="s">
        <v>42</v>
      </c>
      <c r="B122" s="396"/>
      <c r="C122" s="396"/>
      <c r="D122" s="396"/>
      <c r="E122" s="396"/>
      <c r="F122" s="396"/>
      <c r="G122" s="396"/>
      <c r="H122" s="33">
        <f>H107+H98+H84+H80+H71+H51+H42+H18+H12+H8</f>
        <v>214797.12</v>
      </c>
    </row>
    <row r="123" spans="1:10" s="6" customFormat="1" ht="12" x14ac:dyDescent="0.2">
      <c r="C123" s="7"/>
      <c r="E123" s="8"/>
      <c r="F123" s="9"/>
      <c r="G123" s="9"/>
      <c r="H123" s="9"/>
    </row>
    <row r="124" spans="1:10" s="6" customFormat="1" ht="12" x14ac:dyDescent="0.2">
      <c r="C124" s="7"/>
      <c r="E124" s="8"/>
      <c r="F124" s="9"/>
      <c r="G124" s="9"/>
      <c r="H124" s="9"/>
    </row>
    <row r="125" spans="1:10" s="6" customFormat="1" ht="12" x14ac:dyDescent="0.2">
      <c r="C125" s="7"/>
      <c r="E125" s="8"/>
      <c r="F125" s="9"/>
      <c r="G125" s="9"/>
      <c r="H125" s="9"/>
    </row>
    <row r="126" spans="1:10" s="6" customFormat="1" ht="12" x14ac:dyDescent="0.2">
      <c r="C126" s="7"/>
      <c r="E126" s="8"/>
      <c r="F126" s="9"/>
      <c r="G126" s="9"/>
      <c r="H126" s="9"/>
    </row>
    <row r="127" spans="1:10" s="6" customFormat="1" ht="12" x14ac:dyDescent="0.2">
      <c r="C127" s="7"/>
      <c r="E127" s="8"/>
      <c r="F127" s="9"/>
      <c r="G127" s="9"/>
      <c r="H127" s="9"/>
    </row>
    <row r="128" spans="1:10" x14ac:dyDescent="0.2">
      <c r="C128" s="10"/>
      <c r="E128" s="12"/>
      <c r="F128" s="13"/>
      <c r="G128" s="13"/>
      <c r="H128" s="13"/>
    </row>
    <row r="129" spans="3:8" x14ac:dyDescent="0.2">
      <c r="C129" s="10"/>
      <c r="D129" s="11"/>
      <c r="E129" s="12"/>
      <c r="F129" s="13"/>
      <c r="G129" s="13"/>
      <c r="H129" s="13"/>
    </row>
    <row r="130" spans="3:8" x14ac:dyDescent="0.2">
      <c r="C130" s="10"/>
      <c r="D130" s="401"/>
      <c r="E130" s="401"/>
      <c r="F130" s="13"/>
      <c r="G130" s="13"/>
      <c r="H130" s="13"/>
    </row>
    <row r="131" spans="3:8" x14ac:dyDescent="0.2">
      <c r="C131" s="10"/>
      <c r="D131" s="402"/>
      <c r="E131" s="402"/>
      <c r="F131" s="13"/>
      <c r="G131" s="13"/>
      <c r="H131" s="13"/>
    </row>
    <row r="132" spans="3:8" x14ac:dyDescent="0.2">
      <c r="C132" s="10"/>
      <c r="D132" s="403"/>
      <c r="E132" s="403"/>
      <c r="F132" s="13"/>
      <c r="G132" s="13"/>
      <c r="H132" s="13"/>
    </row>
    <row r="133" spans="3:8" x14ac:dyDescent="0.2">
      <c r="C133" s="10"/>
      <c r="D133" s="386"/>
      <c r="E133" s="386"/>
      <c r="F133" s="13"/>
      <c r="G133" s="13"/>
      <c r="H133" s="13"/>
    </row>
    <row r="134" spans="3:8" x14ac:dyDescent="0.2">
      <c r="C134" s="10"/>
      <c r="D134" s="39"/>
      <c r="E134" s="4"/>
      <c r="F134" s="13"/>
      <c r="G134" s="13"/>
      <c r="H134" s="13"/>
    </row>
    <row r="135" spans="3:8" x14ac:dyDescent="0.2">
      <c r="C135" s="10"/>
      <c r="D135" s="11"/>
      <c r="E135" s="12"/>
      <c r="F135" s="13"/>
      <c r="G135" s="13"/>
      <c r="H135" s="13"/>
    </row>
    <row r="136" spans="3:8" x14ac:dyDescent="0.2">
      <c r="C136" s="10"/>
      <c r="D136" s="11"/>
      <c r="E136" s="12"/>
      <c r="F136" s="13"/>
      <c r="G136" s="13"/>
      <c r="H136" s="13"/>
    </row>
    <row r="137" spans="3:8" x14ac:dyDescent="0.2">
      <c r="C137" s="10"/>
      <c r="D137" s="11"/>
      <c r="E137" s="12"/>
      <c r="F137" s="13"/>
      <c r="G137" s="13"/>
      <c r="H137" s="13"/>
    </row>
    <row r="138" spans="3:8" x14ac:dyDescent="0.2">
      <c r="C138" s="10"/>
      <c r="D138" s="11"/>
      <c r="E138" s="12"/>
      <c r="F138" s="13"/>
      <c r="G138" s="13"/>
      <c r="H138" s="13"/>
    </row>
    <row r="139" spans="3:8" x14ac:dyDescent="0.2">
      <c r="C139" s="10"/>
      <c r="D139" s="11"/>
      <c r="E139" s="12"/>
      <c r="F139" s="13"/>
      <c r="G139" s="13"/>
      <c r="H139" s="13"/>
    </row>
    <row r="140" spans="3:8" x14ac:dyDescent="0.2">
      <c r="C140" s="10"/>
      <c r="D140" s="11"/>
      <c r="E140" s="12"/>
      <c r="F140" s="13"/>
      <c r="G140" s="13"/>
      <c r="H140" s="13"/>
    </row>
    <row r="141" spans="3:8" x14ac:dyDescent="0.2">
      <c r="C141" s="10"/>
      <c r="D141" s="11"/>
      <c r="E141" s="12"/>
      <c r="F141" s="13"/>
      <c r="G141" s="13"/>
      <c r="H141" s="13"/>
    </row>
    <row r="142" spans="3:8" x14ac:dyDescent="0.2">
      <c r="C142" s="10"/>
      <c r="D142" s="11"/>
      <c r="E142" s="12"/>
      <c r="F142" s="13"/>
      <c r="G142" s="13"/>
      <c r="H142" s="13"/>
    </row>
    <row r="143" spans="3:8" x14ac:dyDescent="0.2">
      <c r="C143" s="10"/>
      <c r="D143" s="11"/>
      <c r="E143" s="12"/>
      <c r="F143" s="13"/>
      <c r="G143" s="13"/>
      <c r="H143" s="13"/>
    </row>
    <row r="144" spans="3:8" x14ac:dyDescent="0.2">
      <c r="C144" s="10"/>
      <c r="D144" s="11"/>
      <c r="E144" s="12"/>
      <c r="F144" s="13"/>
      <c r="G144" s="13"/>
      <c r="H144" s="13"/>
    </row>
    <row r="145" spans="1:8" x14ac:dyDescent="0.2">
      <c r="C145" s="10"/>
      <c r="D145" s="11"/>
      <c r="E145" s="12"/>
      <c r="F145" s="13"/>
      <c r="G145" s="13"/>
      <c r="H145" s="13"/>
    </row>
    <row r="146" spans="1:8" x14ac:dyDescent="0.2">
      <c r="C146" s="10"/>
      <c r="D146" s="11"/>
      <c r="E146" s="12"/>
      <c r="F146" s="13"/>
      <c r="G146" s="13"/>
      <c r="H146" s="13"/>
    </row>
    <row r="147" spans="1:8" ht="26.25" customHeight="1" x14ac:dyDescent="0.2">
      <c r="C147" s="398"/>
      <c r="D147" s="398"/>
      <c r="E147" s="398"/>
      <c r="F147" s="398"/>
      <c r="G147" s="13"/>
      <c r="H147" s="13"/>
    </row>
    <row r="148" spans="1:8" ht="32.25" customHeight="1" x14ac:dyDescent="0.2">
      <c r="H148" s="13"/>
    </row>
    <row r="149" spans="1:8" x14ac:dyDescent="0.2">
      <c r="A149" s="19"/>
      <c r="B149" s="19"/>
      <c r="C149" s="19"/>
      <c r="D149" s="19"/>
      <c r="E149" s="19"/>
      <c r="F149" s="19"/>
      <c r="G149" s="19"/>
      <c r="H149" s="13"/>
    </row>
    <row r="150" spans="1:8" x14ac:dyDescent="0.2">
      <c r="A150" s="19"/>
      <c r="B150" s="19"/>
      <c r="C150" s="19"/>
      <c r="D150" s="19"/>
      <c r="E150" s="19"/>
      <c r="F150" s="19"/>
      <c r="G150" s="19"/>
      <c r="H150" s="13"/>
    </row>
    <row r="151" spans="1:8" x14ac:dyDescent="0.2">
      <c r="A151" s="19"/>
      <c r="B151" s="19"/>
      <c r="C151" s="19"/>
      <c r="D151" s="19"/>
      <c r="E151" s="19"/>
      <c r="F151" s="19"/>
      <c r="G151" s="19"/>
      <c r="H151" s="13"/>
    </row>
    <row r="152" spans="1:8" x14ac:dyDescent="0.2">
      <c r="A152" s="19"/>
      <c r="B152" s="19"/>
      <c r="C152" s="19"/>
      <c r="D152" s="19"/>
      <c r="E152" s="19"/>
      <c r="F152" s="19"/>
      <c r="G152" s="19"/>
      <c r="H152" s="13"/>
    </row>
    <row r="153" spans="1:8" x14ac:dyDescent="0.2">
      <c r="A153" s="19"/>
      <c r="B153" s="19"/>
      <c r="C153" s="19"/>
      <c r="D153" s="19"/>
      <c r="E153" s="19"/>
      <c r="F153" s="19"/>
      <c r="G153" s="19"/>
      <c r="H153" s="13"/>
    </row>
    <row r="154" spans="1:8" x14ac:dyDescent="0.2">
      <c r="A154" s="19"/>
      <c r="B154" s="19"/>
      <c r="C154" s="22"/>
      <c r="D154" s="19"/>
      <c r="E154" s="19"/>
      <c r="F154" s="19"/>
      <c r="G154" s="19"/>
      <c r="H154" s="13"/>
    </row>
    <row r="155" spans="1:8" x14ac:dyDescent="0.2">
      <c r="A155" s="19"/>
      <c r="B155" s="19"/>
      <c r="C155" s="19"/>
      <c r="D155" s="19"/>
      <c r="E155" s="19"/>
      <c r="F155" s="19"/>
      <c r="G155" s="19"/>
      <c r="H155" s="13"/>
    </row>
    <row r="156" spans="1:8" x14ac:dyDescent="0.2">
      <c r="C156" s="14"/>
      <c r="D156" s="15"/>
      <c r="F156" s="16"/>
      <c r="G156" s="16"/>
      <c r="H156" s="16"/>
    </row>
    <row r="157" spans="1:8" x14ac:dyDescent="0.2">
      <c r="C157" s="14"/>
      <c r="D157" s="15"/>
      <c r="F157" s="16"/>
      <c r="G157" s="16"/>
      <c r="H157" s="16"/>
    </row>
    <row r="158" spans="1:8" x14ac:dyDescent="0.2">
      <c r="C158" s="14"/>
      <c r="D158" s="15"/>
      <c r="F158" s="16"/>
      <c r="G158" s="16"/>
      <c r="H158" s="16"/>
    </row>
    <row r="159" spans="1:8" x14ac:dyDescent="0.2">
      <c r="C159" s="18"/>
      <c r="D159" s="20"/>
      <c r="E159" s="18"/>
      <c r="F159" s="21"/>
      <c r="G159" s="16"/>
      <c r="H159" s="16"/>
    </row>
    <row r="160" spans="1:8" x14ac:dyDescent="0.2">
      <c r="C160" s="14"/>
      <c r="D160" s="15"/>
      <c r="F160" s="16"/>
      <c r="G160" s="16"/>
      <c r="H160" s="16"/>
    </row>
    <row r="161" spans="3:8" x14ac:dyDescent="0.2">
      <c r="C161" s="14"/>
      <c r="D161" s="15"/>
      <c r="F161" s="16"/>
      <c r="G161" s="16"/>
      <c r="H161" s="16"/>
    </row>
    <row r="162" spans="3:8" x14ac:dyDescent="0.2">
      <c r="C162" s="14"/>
      <c r="D162" s="15"/>
      <c r="F162" s="16"/>
      <c r="G162" s="16"/>
      <c r="H162" s="16"/>
    </row>
    <row r="163" spans="3:8" x14ac:dyDescent="0.2">
      <c r="C163" s="14"/>
      <c r="D163" s="15"/>
      <c r="F163" s="16"/>
      <c r="G163" s="16"/>
      <c r="H163" s="16"/>
    </row>
    <row r="164" spans="3:8" x14ac:dyDescent="0.2">
      <c r="C164" s="14"/>
      <c r="D164" s="15"/>
      <c r="F164" s="16"/>
      <c r="G164" s="16"/>
      <c r="H164" s="16"/>
    </row>
    <row r="165" spans="3:8" x14ac:dyDescent="0.2">
      <c r="C165" s="14"/>
      <c r="D165" s="15"/>
      <c r="F165" s="16"/>
      <c r="G165" s="16"/>
      <c r="H165" s="16"/>
    </row>
    <row r="166" spans="3:8" x14ac:dyDescent="0.2">
      <c r="C166" s="14"/>
      <c r="D166" s="15"/>
      <c r="F166" s="16"/>
      <c r="G166" s="16"/>
      <c r="H166" s="16"/>
    </row>
    <row r="167" spans="3:8" x14ac:dyDescent="0.2">
      <c r="C167" s="14"/>
      <c r="D167" s="15"/>
      <c r="F167" s="16"/>
      <c r="G167" s="16"/>
      <c r="H167" s="16"/>
    </row>
    <row r="168" spans="3:8" x14ac:dyDescent="0.2">
      <c r="C168" s="14"/>
      <c r="D168" s="15"/>
      <c r="F168" s="16"/>
      <c r="G168" s="16"/>
      <c r="H168" s="16"/>
    </row>
    <row r="169" spans="3:8" x14ac:dyDescent="0.2">
      <c r="C169" s="14"/>
      <c r="D169" s="15"/>
      <c r="F169" s="16"/>
      <c r="G169" s="16"/>
      <c r="H169" s="16"/>
    </row>
    <row r="170" spans="3:8" x14ac:dyDescent="0.2">
      <c r="C170" s="14"/>
      <c r="D170" s="15"/>
      <c r="F170" s="16"/>
      <c r="G170" s="16"/>
      <c r="H170" s="16"/>
    </row>
    <row r="171" spans="3:8" x14ac:dyDescent="0.2">
      <c r="C171" s="14"/>
      <c r="D171" s="15"/>
      <c r="F171" s="16"/>
      <c r="G171" s="16"/>
      <c r="H171" s="16"/>
    </row>
    <row r="172" spans="3:8" x14ac:dyDescent="0.2">
      <c r="C172" s="14"/>
      <c r="D172" s="15"/>
      <c r="F172" s="16"/>
      <c r="G172" s="16"/>
      <c r="H172" s="16"/>
    </row>
    <row r="173" spans="3:8" x14ac:dyDescent="0.2">
      <c r="C173" s="14"/>
      <c r="D173" s="15"/>
      <c r="F173" s="16"/>
      <c r="G173" s="16"/>
      <c r="H173" s="16"/>
    </row>
    <row r="174" spans="3:8" x14ac:dyDescent="0.2">
      <c r="C174" s="14"/>
      <c r="D174" s="15"/>
      <c r="F174" s="16"/>
      <c r="G174" s="16"/>
      <c r="H174" s="16"/>
    </row>
    <row r="175" spans="3:8" x14ac:dyDescent="0.2">
      <c r="C175" s="14"/>
      <c r="D175" s="15"/>
      <c r="F175" s="16"/>
      <c r="G175" s="16"/>
      <c r="H175" s="16"/>
    </row>
    <row r="176" spans="3:8" x14ac:dyDescent="0.2">
      <c r="C176" s="14"/>
      <c r="D176" s="15"/>
      <c r="F176" s="16"/>
      <c r="G176" s="16"/>
      <c r="H176" s="16"/>
    </row>
    <row r="177" spans="3:8" x14ac:dyDescent="0.2">
      <c r="C177" s="14"/>
      <c r="D177" s="15"/>
      <c r="F177" s="16"/>
      <c r="G177" s="16"/>
      <c r="H177" s="16"/>
    </row>
    <row r="178" spans="3:8" x14ac:dyDescent="0.2">
      <c r="C178" s="14"/>
      <c r="D178" s="15"/>
      <c r="F178" s="16"/>
      <c r="G178" s="16"/>
      <c r="H178" s="16"/>
    </row>
    <row r="179" spans="3:8" x14ac:dyDescent="0.2">
      <c r="C179" s="14"/>
      <c r="D179" s="15"/>
      <c r="F179" s="16"/>
      <c r="G179" s="16"/>
      <c r="H179" s="16"/>
    </row>
    <row r="180" spans="3:8" x14ac:dyDescent="0.2">
      <c r="C180" s="14"/>
      <c r="D180" s="15"/>
      <c r="F180" s="16"/>
      <c r="G180" s="16"/>
      <c r="H180" s="16"/>
    </row>
    <row r="181" spans="3:8" x14ac:dyDescent="0.2">
      <c r="C181" s="14"/>
      <c r="D181" s="15"/>
      <c r="F181" s="16"/>
      <c r="G181" s="16"/>
      <c r="H181" s="16"/>
    </row>
    <row r="182" spans="3:8" x14ac:dyDescent="0.2">
      <c r="C182" s="14"/>
      <c r="D182" s="15"/>
      <c r="F182" s="16"/>
      <c r="G182" s="16"/>
      <c r="H182" s="16"/>
    </row>
    <row r="183" spans="3:8" x14ac:dyDescent="0.2">
      <c r="C183" s="14"/>
      <c r="D183" s="15"/>
      <c r="F183" s="16"/>
      <c r="G183" s="16"/>
      <c r="H183" s="16"/>
    </row>
    <row r="184" spans="3:8" x14ac:dyDescent="0.2">
      <c r="C184" s="14"/>
      <c r="D184" s="15"/>
      <c r="F184" s="16"/>
      <c r="G184" s="16"/>
      <c r="H184" s="16"/>
    </row>
    <row r="185" spans="3:8" x14ac:dyDescent="0.2">
      <c r="C185" s="14"/>
      <c r="D185" s="15"/>
      <c r="F185" s="16"/>
      <c r="G185" s="16"/>
      <c r="H185" s="16"/>
    </row>
    <row r="186" spans="3:8" x14ac:dyDescent="0.2">
      <c r="C186" s="15"/>
      <c r="D186" s="15"/>
      <c r="F186" s="16"/>
      <c r="G186" s="16"/>
      <c r="H186" s="16"/>
    </row>
    <row r="187" spans="3:8" x14ac:dyDescent="0.2">
      <c r="C187" s="15"/>
      <c r="D187" s="15"/>
      <c r="F187" s="16"/>
      <c r="G187" s="16"/>
      <c r="H187" s="16"/>
    </row>
    <row r="188" spans="3:8" x14ac:dyDescent="0.2">
      <c r="C188" s="15"/>
      <c r="D188" s="15"/>
      <c r="F188" s="16"/>
      <c r="G188" s="16"/>
      <c r="H188" s="16"/>
    </row>
    <row r="189" spans="3:8" x14ac:dyDescent="0.2">
      <c r="C189" s="15"/>
      <c r="D189" s="15"/>
      <c r="F189" s="16"/>
      <c r="G189" s="16"/>
      <c r="H189" s="16"/>
    </row>
    <row r="190" spans="3:8" x14ac:dyDescent="0.2">
      <c r="C190" s="15"/>
      <c r="D190" s="15"/>
      <c r="F190" s="16"/>
      <c r="G190" s="16"/>
      <c r="H190" s="16"/>
    </row>
    <row r="191" spans="3:8" x14ac:dyDescent="0.2">
      <c r="C191" s="15"/>
      <c r="D191" s="15"/>
      <c r="F191" s="16"/>
      <c r="G191" s="16"/>
      <c r="H191" s="16"/>
    </row>
    <row r="192" spans="3:8" x14ac:dyDescent="0.2">
      <c r="C192" s="15"/>
      <c r="D192" s="15"/>
      <c r="F192" s="16"/>
      <c r="G192" s="16"/>
      <c r="H192" s="16"/>
    </row>
    <row r="193" spans="3:8" x14ac:dyDescent="0.2">
      <c r="C193" s="15"/>
      <c r="D193" s="15"/>
      <c r="F193" s="16"/>
      <c r="G193" s="16"/>
      <c r="H193" s="16"/>
    </row>
    <row r="194" spans="3:8" x14ac:dyDescent="0.2">
      <c r="C194" s="15"/>
      <c r="D194" s="15"/>
      <c r="F194" s="16"/>
      <c r="G194" s="16"/>
      <c r="H194" s="16"/>
    </row>
    <row r="195" spans="3:8" x14ac:dyDescent="0.2">
      <c r="C195" s="15"/>
      <c r="D195" s="15"/>
      <c r="F195" s="16"/>
      <c r="G195" s="16"/>
      <c r="H195" s="16"/>
    </row>
    <row r="196" spans="3:8" x14ac:dyDescent="0.2">
      <c r="C196" s="15"/>
      <c r="D196" s="15"/>
      <c r="F196" s="16"/>
      <c r="G196" s="16"/>
      <c r="H196" s="16"/>
    </row>
    <row r="197" spans="3:8" x14ac:dyDescent="0.2">
      <c r="C197" s="15"/>
      <c r="D197" s="15"/>
      <c r="F197" s="16"/>
      <c r="G197" s="16"/>
      <c r="H197" s="16"/>
    </row>
    <row r="198" spans="3:8" x14ac:dyDescent="0.2">
      <c r="C198" s="15"/>
      <c r="D198" s="15"/>
      <c r="F198" s="16"/>
      <c r="G198" s="16"/>
      <c r="H198" s="16"/>
    </row>
    <row r="199" spans="3:8" x14ac:dyDescent="0.2">
      <c r="C199" s="15"/>
      <c r="D199" s="15"/>
      <c r="F199" s="16"/>
      <c r="G199" s="16"/>
      <c r="H199" s="16"/>
    </row>
    <row r="200" spans="3:8" x14ac:dyDescent="0.2">
      <c r="C200" s="15"/>
      <c r="D200" s="15"/>
      <c r="F200" s="16"/>
      <c r="G200" s="16"/>
      <c r="H200" s="16"/>
    </row>
    <row r="201" spans="3:8" x14ac:dyDescent="0.2">
      <c r="C201" s="15"/>
      <c r="D201" s="15"/>
      <c r="F201" s="16"/>
      <c r="G201" s="16"/>
      <c r="H201" s="16"/>
    </row>
    <row r="202" spans="3:8" x14ac:dyDescent="0.2">
      <c r="C202" s="15"/>
      <c r="D202" s="15"/>
      <c r="F202" s="16"/>
      <c r="G202" s="16"/>
      <c r="H202" s="16"/>
    </row>
    <row r="203" spans="3:8" x14ac:dyDescent="0.2">
      <c r="C203" s="15"/>
      <c r="D203" s="15"/>
      <c r="F203" s="16"/>
      <c r="G203" s="16"/>
      <c r="H203" s="16"/>
    </row>
    <row r="204" spans="3:8" x14ac:dyDescent="0.2">
      <c r="C204" s="15"/>
      <c r="D204" s="15"/>
      <c r="F204" s="16"/>
      <c r="G204" s="16"/>
      <c r="H204" s="16"/>
    </row>
    <row r="205" spans="3:8" x14ac:dyDescent="0.2">
      <c r="C205" s="15"/>
      <c r="D205" s="15"/>
      <c r="F205" s="16"/>
      <c r="G205" s="16"/>
      <c r="H205" s="16"/>
    </row>
    <row r="206" spans="3:8" x14ac:dyDescent="0.2">
      <c r="C206" s="15"/>
      <c r="D206" s="15"/>
      <c r="F206" s="16"/>
      <c r="G206" s="16"/>
      <c r="H206" s="16"/>
    </row>
    <row r="207" spans="3:8" x14ac:dyDescent="0.2">
      <c r="C207" s="15"/>
      <c r="D207" s="15"/>
      <c r="F207" s="16"/>
      <c r="G207" s="16"/>
      <c r="H207" s="16"/>
    </row>
    <row r="208" spans="3:8" x14ac:dyDescent="0.2">
      <c r="C208" s="15"/>
      <c r="D208" s="15"/>
      <c r="F208" s="16"/>
      <c r="G208" s="16"/>
      <c r="H208" s="16"/>
    </row>
    <row r="209" spans="3:8" x14ac:dyDescent="0.2">
      <c r="C209" s="15"/>
      <c r="D209" s="15"/>
      <c r="F209" s="16"/>
      <c r="G209" s="16"/>
      <c r="H209" s="16"/>
    </row>
    <row r="210" spans="3:8" x14ac:dyDescent="0.2">
      <c r="C210" s="15"/>
      <c r="D210" s="15"/>
      <c r="F210" s="16"/>
      <c r="G210" s="16"/>
      <c r="H210" s="16"/>
    </row>
    <row r="211" spans="3:8" x14ac:dyDescent="0.2">
      <c r="C211" s="15"/>
      <c r="D211" s="15"/>
      <c r="F211" s="16"/>
      <c r="G211" s="16"/>
      <c r="H211" s="16"/>
    </row>
    <row r="212" spans="3:8" x14ac:dyDescent="0.2">
      <c r="C212" s="15"/>
      <c r="D212" s="15"/>
      <c r="F212" s="16"/>
      <c r="G212" s="16"/>
      <c r="H212" s="16"/>
    </row>
    <row r="213" spans="3:8" x14ac:dyDescent="0.2">
      <c r="C213" s="15"/>
      <c r="D213" s="15"/>
      <c r="F213" s="16"/>
      <c r="G213" s="16"/>
      <c r="H213" s="16"/>
    </row>
    <row r="214" spans="3:8" x14ac:dyDescent="0.2">
      <c r="C214" s="15"/>
      <c r="D214" s="15"/>
      <c r="F214" s="16"/>
      <c r="G214" s="16"/>
      <c r="H214" s="16"/>
    </row>
    <row r="215" spans="3:8" x14ac:dyDescent="0.2">
      <c r="C215" s="15"/>
      <c r="D215" s="15"/>
      <c r="F215" s="16"/>
      <c r="G215" s="16"/>
      <c r="H215" s="16"/>
    </row>
    <row r="216" spans="3:8" x14ac:dyDescent="0.2">
      <c r="C216" s="15"/>
      <c r="D216" s="15"/>
      <c r="F216" s="16"/>
      <c r="G216" s="16"/>
      <c r="H216" s="16"/>
    </row>
    <row r="217" spans="3:8" x14ac:dyDescent="0.2">
      <c r="C217" s="15"/>
      <c r="D217" s="15"/>
      <c r="F217" s="16"/>
      <c r="G217" s="16"/>
      <c r="H217" s="16"/>
    </row>
    <row r="218" spans="3:8" x14ac:dyDescent="0.2">
      <c r="C218" s="15"/>
      <c r="D218" s="15"/>
      <c r="F218" s="16"/>
      <c r="G218" s="16"/>
      <c r="H218" s="16"/>
    </row>
    <row r="219" spans="3:8" x14ac:dyDescent="0.2">
      <c r="C219" s="15"/>
      <c r="D219" s="15"/>
      <c r="F219" s="16"/>
      <c r="G219" s="16"/>
      <c r="H219" s="16"/>
    </row>
    <row r="220" spans="3:8" x14ac:dyDescent="0.2">
      <c r="C220" s="15"/>
      <c r="D220" s="15"/>
      <c r="F220" s="16"/>
      <c r="G220" s="16"/>
      <c r="H220" s="16"/>
    </row>
    <row r="221" spans="3:8" x14ac:dyDescent="0.2">
      <c r="C221" s="15"/>
      <c r="D221" s="15"/>
      <c r="F221" s="16"/>
      <c r="G221" s="16"/>
      <c r="H221" s="16"/>
    </row>
    <row r="222" spans="3:8" x14ac:dyDescent="0.2">
      <c r="C222" s="15"/>
      <c r="D222" s="15"/>
      <c r="F222" s="16"/>
      <c r="G222" s="16"/>
      <c r="H222" s="16"/>
    </row>
    <row r="223" spans="3:8" x14ac:dyDescent="0.2">
      <c r="C223" s="15"/>
      <c r="D223" s="15"/>
      <c r="F223" s="16"/>
      <c r="G223" s="16"/>
      <c r="H223" s="16"/>
    </row>
    <row r="224" spans="3:8" x14ac:dyDescent="0.2">
      <c r="C224" s="15"/>
      <c r="D224" s="15"/>
      <c r="F224" s="16"/>
      <c r="G224" s="16"/>
      <c r="H224" s="16"/>
    </row>
    <row r="225" spans="3:8" x14ac:dyDescent="0.2">
      <c r="C225" s="15"/>
      <c r="D225" s="15"/>
      <c r="F225" s="16"/>
      <c r="G225" s="16"/>
      <c r="H225" s="16"/>
    </row>
    <row r="226" spans="3:8" x14ac:dyDescent="0.2">
      <c r="C226" s="15"/>
      <c r="D226" s="15"/>
      <c r="F226" s="16"/>
      <c r="G226" s="16"/>
      <c r="H226" s="16"/>
    </row>
    <row r="227" spans="3:8" x14ac:dyDescent="0.2">
      <c r="C227" s="15"/>
      <c r="D227" s="15"/>
      <c r="F227" s="16"/>
      <c r="G227" s="16"/>
      <c r="H227" s="16"/>
    </row>
    <row r="228" spans="3:8" x14ac:dyDescent="0.2">
      <c r="C228" s="15"/>
      <c r="D228" s="15"/>
      <c r="F228" s="16"/>
      <c r="G228" s="16"/>
      <c r="H228" s="16"/>
    </row>
    <row r="229" spans="3:8" x14ac:dyDescent="0.2">
      <c r="C229" s="15"/>
      <c r="D229" s="15"/>
      <c r="F229" s="16"/>
      <c r="G229" s="16"/>
      <c r="H229" s="16"/>
    </row>
    <row r="230" spans="3:8" x14ac:dyDescent="0.2">
      <c r="C230" s="15"/>
      <c r="D230" s="15"/>
      <c r="F230" s="16"/>
      <c r="G230" s="16"/>
      <c r="H230" s="16"/>
    </row>
    <row r="231" spans="3:8" x14ac:dyDescent="0.2">
      <c r="C231" s="15"/>
      <c r="D231" s="15"/>
      <c r="F231" s="16"/>
      <c r="G231" s="16"/>
      <c r="H231" s="16"/>
    </row>
    <row r="232" spans="3:8" x14ac:dyDescent="0.2">
      <c r="C232" s="15"/>
      <c r="D232" s="15"/>
      <c r="F232" s="16"/>
      <c r="G232" s="16"/>
      <c r="H232" s="16"/>
    </row>
    <row r="233" spans="3:8" x14ac:dyDescent="0.2">
      <c r="C233" s="15"/>
      <c r="D233" s="15"/>
      <c r="F233" s="16"/>
      <c r="G233" s="16"/>
      <c r="H233" s="16"/>
    </row>
    <row r="234" spans="3:8" x14ac:dyDescent="0.2">
      <c r="C234" s="15"/>
      <c r="D234" s="15"/>
      <c r="F234" s="16"/>
      <c r="G234" s="16"/>
      <c r="H234" s="16"/>
    </row>
    <row r="235" spans="3:8" x14ac:dyDescent="0.2">
      <c r="C235" s="15"/>
      <c r="D235" s="15"/>
      <c r="F235" s="16"/>
      <c r="G235" s="16"/>
      <c r="H235" s="16"/>
    </row>
    <row r="236" spans="3:8" x14ac:dyDescent="0.2">
      <c r="C236" s="15"/>
      <c r="D236" s="15"/>
      <c r="F236" s="16"/>
      <c r="G236" s="16"/>
      <c r="H236" s="16"/>
    </row>
    <row r="237" spans="3:8" x14ac:dyDescent="0.2">
      <c r="C237" s="15"/>
      <c r="D237" s="15"/>
      <c r="F237" s="16"/>
      <c r="G237" s="16"/>
      <c r="H237" s="16"/>
    </row>
    <row r="238" spans="3:8" x14ac:dyDescent="0.2">
      <c r="C238" s="15"/>
      <c r="D238" s="15"/>
      <c r="F238" s="16"/>
      <c r="G238" s="16"/>
      <c r="H238" s="16"/>
    </row>
    <row r="239" spans="3:8" x14ac:dyDescent="0.2">
      <c r="C239" s="15"/>
      <c r="D239" s="15"/>
      <c r="F239" s="16"/>
      <c r="G239" s="16"/>
      <c r="H239" s="16"/>
    </row>
    <row r="240" spans="3:8" x14ac:dyDescent="0.2">
      <c r="C240" s="15"/>
      <c r="D240" s="15"/>
      <c r="F240" s="16"/>
      <c r="G240" s="16"/>
      <c r="H240" s="16"/>
    </row>
    <row r="241" spans="3:8" x14ac:dyDescent="0.2">
      <c r="C241" s="15"/>
      <c r="D241" s="15"/>
      <c r="F241" s="16"/>
      <c r="G241" s="16"/>
      <c r="H241" s="16"/>
    </row>
    <row r="242" spans="3:8" x14ac:dyDescent="0.2">
      <c r="C242" s="15"/>
      <c r="D242" s="15"/>
      <c r="F242" s="16"/>
      <c r="G242" s="16"/>
      <c r="H242" s="16"/>
    </row>
    <row r="243" spans="3:8" x14ac:dyDescent="0.2">
      <c r="C243" s="15"/>
      <c r="D243" s="15"/>
      <c r="F243" s="16"/>
      <c r="G243" s="16"/>
      <c r="H243" s="16"/>
    </row>
    <row r="244" spans="3:8" x14ac:dyDescent="0.2">
      <c r="C244" s="15"/>
      <c r="D244" s="15"/>
      <c r="F244" s="16"/>
      <c r="G244" s="16"/>
      <c r="H244" s="16"/>
    </row>
    <row r="245" spans="3:8" x14ac:dyDescent="0.2">
      <c r="C245" s="15"/>
      <c r="D245" s="15"/>
      <c r="F245" s="16"/>
      <c r="G245" s="16"/>
      <c r="H245" s="16"/>
    </row>
    <row r="246" spans="3:8" x14ac:dyDescent="0.2">
      <c r="C246" s="15"/>
      <c r="D246" s="15"/>
      <c r="F246" s="16"/>
      <c r="G246" s="16"/>
      <c r="H246" s="16"/>
    </row>
    <row r="247" spans="3:8" x14ac:dyDescent="0.2">
      <c r="C247" s="15"/>
      <c r="D247" s="15"/>
      <c r="F247" s="16"/>
      <c r="G247" s="16"/>
      <c r="H247" s="16"/>
    </row>
    <row r="248" spans="3:8" x14ac:dyDescent="0.2">
      <c r="C248" s="15"/>
      <c r="D248" s="15"/>
      <c r="F248" s="16"/>
      <c r="G248" s="16"/>
      <c r="H248" s="16"/>
    </row>
    <row r="249" spans="3:8" x14ac:dyDescent="0.2">
      <c r="C249" s="15"/>
      <c r="D249" s="15"/>
      <c r="F249" s="16"/>
      <c r="G249" s="16"/>
      <c r="H249" s="16"/>
    </row>
    <row r="250" spans="3:8" x14ac:dyDescent="0.2">
      <c r="C250" s="15"/>
      <c r="D250" s="15"/>
      <c r="F250" s="16"/>
      <c r="G250" s="16"/>
      <c r="H250" s="16"/>
    </row>
    <row r="251" spans="3:8" x14ac:dyDescent="0.2">
      <c r="C251" s="15"/>
      <c r="D251" s="15"/>
      <c r="F251" s="16"/>
      <c r="G251" s="16"/>
      <c r="H251" s="16"/>
    </row>
    <row r="252" spans="3:8" x14ac:dyDescent="0.2">
      <c r="C252" s="15"/>
      <c r="D252" s="15"/>
      <c r="F252" s="16"/>
      <c r="G252" s="16"/>
      <c r="H252" s="16"/>
    </row>
    <row r="253" spans="3:8" x14ac:dyDescent="0.2">
      <c r="C253" s="15"/>
      <c r="D253" s="15"/>
      <c r="F253" s="16"/>
      <c r="G253" s="16"/>
      <c r="H253" s="16"/>
    </row>
    <row r="254" spans="3:8" x14ac:dyDescent="0.2">
      <c r="C254" s="15"/>
      <c r="D254" s="15"/>
      <c r="F254" s="16"/>
      <c r="G254" s="16"/>
      <c r="H254" s="16"/>
    </row>
    <row r="255" spans="3:8" x14ac:dyDescent="0.2">
      <c r="C255" s="15"/>
      <c r="D255" s="15"/>
      <c r="F255" s="16"/>
      <c r="G255" s="16"/>
      <c r="H255" s="16"/>
    </row>
    <row r="256" spans="3:8" x14ac:dyDescent="0.2">
      <c r="C256" s="15"/>
      <c r="D256" s="15"/>
      <c r="F256" s="16"/>
      <c r="G256" s="16"/>
      <c r="H256" s="16"/>
    </row>
    <row r="257" spans="3:8" x14ac:dyDescent="0.2">
      <c r="C257" s="15"/>
      <c r="D257" s="15"/>
      <c r="F257" s="16"/>
      <c r="G257" s="16"/>
      <c r="H257" s="16"/>
    </row>
    <row r="258" spans="3:8" x14ac:dyDescent="0.2">
      <c r="C258" s="15"/>
      <c r="D258" s="15"/>
      <c r="F258" s="16"/>
      <c r="G258" s="16"/>
      <c r="H258" s="16"/>
    </row>
    <row r="259" spans="3:8" x14ac:dyDescent="0.2">
      <c r="C259" s="15"/>
      <c r="D259" s="15"/>
      <c r="F259" s="16"/>
      <c r="G259" s="16"/>
      <c r="H259" s="16"/>
    </row>
    <row r="260" spans="3:8" x14ac:dyDescent="0.2">
      <c r="C260" s="15"/>
      <c r="D260" s="15"/>
      <c r="F260" s="16"/>
      <c r="G260" s="16"/>
      <c r="H260" s="16"/>
    </row>
    <row r="261" spans="3:8" x14ac:dyDescent="0.2">
      <c r="C261" s="15"/>
      <c r="D261" s="15"/>
      <c r="F261" s="16"/>
      <c r="G261" s="16"/>
      <c r="H261" s="16"/>
    </row>
    <row r="262" spans="3:8" x14ac:dyDescent="0.2">
      <c r="C262" s="15"/>
      <c r="D262" s="15"/>
      <c r="F262" s="16"/>
      <c r="G262" s="16"/>
      <c r="H262" s="16"/>
    </row>
    <row r="263" spans="3:8" x14ac:dyDescent="0.2">
      <c r="C263" s="15"/>
      <c r="D263" s="15"/>
      <c r="F263" s="16"/>
      <c r="G263" s="16"/>
      <c r="H263" s="16"/>
    </row>
    <row r="264" spans="3:8" x14ac:dyDescent="0.2">
      <c r="C264" s="15"/>
      <c r="D264" s="15"/>
      <c r="F264" s="16"/>
      <c r="G264" s="16"/>
      <c r="H264" s="16"/>
    </row>
    <row r="265" spans="3:8" x14ac:dyDescent="0.2">
      <c r="C265" s="15"/>
      <c r="D265" s="15"/>
      <c r="F265" s="16"/>
      <c r="G265" s="16"/>
      <c r="H265" s="16"/>
    </row>
    <row r="266" spans="3:8" x14ac:dyDescent="0.2">
      <c r="C266" s="15"/>
      <c r="D266" s="15"/>
      <c r="F266" s="16"/>
      <c r="G266" s="16"/>
      <c r="H266" s="16"/>
    </row>
    <row r="267" spans="3:8" x14ac:dyDescent="0.2">
      <c r="C267" s="15"/>
      <c r="D267" s="15"/>
      <c r="F267" s="16"/>
      <c r="G267" s="16"/>
      <c r="H267" s="16"/>
    </row>
    <row r="268" spans="3:8" x14ac:dyDescent="0.2">
      <c r="C268" s="15"/>
      <c r="D268" s="15"/>
      <c r="F268" s="16"/>
      <c r="G268" s="16"/>
      <c r="H268" s="16"/>
    </row>
    <row r="269" spans="3:8" x14ac:dyDescent="0.2">
      <c r="C269" s="15"/>
      <c r="D269" s="15"/>
      <c r="F269" s="16"/>
      <c r="G269" s="16"/>
      <c r="H269" s="16"/>
    </row>
    <row r="270" spans="3:8" x14ac:dyDescent="0.2">
      <c r="C270" s="15"/>
      <c r="D270" s="15"/>
      <c r="F270" s="16"/>
      <c r="G270" s="16"/>
      <c r="H270" s="16"/>
    </row>
    <row r="271" spans="3:8" x14ac:dyDescent="0.2">
      <c r="C271" s="15"/>
      <c r="D271" s="15"/>
      <c r="F271" s="16"/>
      <c r="G271" s="16"/>
      <c r="H271" s="16"/>
    </row>
    <row r="272" spans="3:8" x14ac:dyDescent="0.2">
      <c r="C272" s="15"/>
      <c r="D272" s="15"/>
      <c r="F272" s="16"/>
      <c r="G272" s="16"/>
      <c r="H272" s="16"/>
    </row>
    <row r="273" spans="3:8" x14ac:dyDescent="0.2">
      <c r="C273" s="15"/>
      <c r="D273" s="15"/>
      <c r="F273" s="16"/>
      <c r="G273" s="16"/>
      <c r="H273" s="16"/>
    </row>
    <row r="274" spans="3:8" x14ac:dyDescent="0.2">
      <c r="C274" s="15"/>
      <c r="D274" s="15"/>
      <c r="F274" s="16"/>
      <c r="G274" s="16"/>
      <c r="H274" s="16"/>
    </row>
    <row r="275" spans="3:8" x14ac:dyDescent="0.2">
      <c r="C275" s="15"/>
      <c r="D275" s="15"/>
      <c r="F275" s="16"/>
      <c r="G275" s="16"/>
      <c r="H275" s="16"/>
    </row>
    <row r="276" spans="3:8" x14ac:dyDescent="0.2">
      <c r="C276" s="15"/>
      <c r="D276" s="15"/>
      <c r="F276" s="16"/>
      <c r="G276" s="16"/>
      <c r="H276" s="16"/>
    </row>
    <row r="277" spans="3:8" x14ac:dyDescent="0.2">
      <c r="C277" s="15"/>
      <c r="D277" s="15"/>
      <c r="F277" s="16"/>
      <c r="G277" s="16"/>
      <c r="H277" s="16"/>
    </row>
    <row r="278" spans="3:8" x14ac:dyDescent="0.2">
      <c r="C278" s="15"/>
      <c r="D278" s="15"/>
      <c r="F278" s="16"/>
      <c r="G278" s="16"/>
      <c r="H278" s="16"/>
    </row>
    <row r="279" spans="3:8" x14ac:dyDescent="0.2">
      <c r="C279" s="15"/>
      <c r="D279" s="15"/>
      <c r="F279" s="16"/>
      <c r="G279" s="16"/>
      <c r="H279" s="16"/>
    </row>
    <row r="280" spans="3:8" x14ac:dyDescent="0.2">
      <c r="C280" s="15"/>
      <c r="D280" s="15"/>
      <c r="F280" s="16"/>
      <c r="G280" s="16"/>
      <c r="H280" s="16"/>
    </row>
    <row r="281" spans="3:8" x14ac:dyDescent="0.2">
      <c r="C281" s="15"/>
      <c r="D281" s="15"/>
      <c r="F281" s="16"/>
      <c r="G281" s="16"/>
      <c r="H281" s="16"/>
    </row>
    <row r="282" spans="3:8" x14ac:dyDescent="0.2">
      <c r="C282" s="15"/>
      <c r="D282" s="15"/>
      <c r="F282" s="16"/>
      <c r="G282" s="16"/>
      <c r="H282" s="16"/>
    </row>
    <row r="283" spans="3:8" x14ac:dyDescent="0.2">
      <c r="C283" s="15"/>
      <c r="D283" s="15"/>
      <c r="F283" s="16"/>
      <c r="G283" s="16"/>
      <c r="H283" s="16"/>
    </row>
    <row r="284" spans="3:8" x14ac:dyDescent="0.2">
      <c r="C284" s="15"/>
      <c r="D284" s="15"/>
      <c r="F284" s="16"/>
      <c r="G284" s="16"/>
      <c r="H284" s="16"/>
    </row>
    <row r="285" spans="3:8" x14ac:dyDescent="0.2">
      <c r="C285" s="15"/>
      <c r="D285" s="15"/>
      <c r="F285" s="16"/>
      <c r="G285" s="16"/>
      <c r="H285" s="16"/>
    </row>
    <row r="286" spans="3:8" x14ac:dyDescent="0.2">
      <c r="C286" s="15"/>
      <c r="D286" s="15"/>
      <c r="F286" s="16"/>
      <c r="G286" s="16"/>
      <c r="H286" s="16"/>
    </row>
    <row r="287" spans="3:8" x14ac:dyDescent="0.2">
      <c r="C287" s="15"/>
      <c r="D287" s="15"/>
      <c r="F287" s="16"/>
      <c r="G287" s="16"/>
      <c r="H287" s="16"/>
    </row>
    <row r="288" spans="3:8" x14ac:dyDescent="0.2">
      <c r="C288" s="15"/>
      <c r="D288" s="15"/>
      <c r="F288" s="16"/>
      <c r="G288" s="16"/>
      <c r="H288" s="16"/>
    </row>
    <row r="289" spans="3:8" x14ac:dyDescent="0.2">
      <c r="C289" s="15"/>
      <c r="D289" s="15"/>
      <c r="F289" s="16"/>
      <c r="G289" s="16"/>
      <c r="H289" s="16"/>
    </row>
    <row r="290" spans="3:8" x14ac:dyDescent="0.2">
      <c r="C290" s="15"/>
      <c r="D290" s="15"/>
      <c r="F290" s="16"/>
      <c r="G290" s="16"/>
      <c r="H290" s="16"/>
    </row>
    <row r="291" spans="3:8" x14ac:dyDescent="0.2">
      <c r="C291" s="15"/>
      <c r="D291" s="15"/>
      <c r="F291" s="16"/>
      <c r="G291" s="16"/>
      <c r="H291" s="16"/>
    </row>
    <row r="292" spans="3:8" x14ac:dyDescent="0.2">
      <c r="C292" s="15"/>
      <c r="D292" s="15"/>
      <c r="F292" s="16"/>
      <c r="G292" s="16"/>
      <c r="H292" s="16"/>
    </row>
    <row r="293" spans="3:8" x14ac:dyDescent="0.2">
      <c r="C293" s="15"/>
      <c r="D293" s="15"/>
      <c r="F293" s="16"/>
      <c r="G293" s="16"/>
      <c r="H293" s="16"/>
    </row>
    <row r="294" spans="3:8" x14ac:dyDescent="0.2">
      <c r="C294" s="15"/>
      <c r="D294" s="15"/>
      <c r="F294" s="16"/>
      <c r="G294" s="16"/>
      <c r="H294" s="16"/>
    </row>
    <row r="295" spans="3:8" x14ac:dyDescent="0.2">
      <c r="C295" s="15"/>
      <c r="D295" s="15"/>
      <c r="F295" s="16"/>
      <c r="G295" s="16"/>
      <c r="H295" s="16"/>
    </row>
    <row r="296" spans="3:8" x14ac:dyDescent="0.2">
      <c r="C296" s="15"/>
      <c r="D296" s="15"/>
      <c r="F296" s="16"/>
      <c r="G296" s="16"/>
      <c r="H296" s="16"/>
    </row>
    <row r="297" spans="3:8" x14ac:dyDescent="0.2">
      <c r="C297" s="15"/>
      <c r="D297" s="15"/>
      <c r="F297" s="16"/>
      <c r="G297" s="16"/>
      <c r="H297" s="16"/>
    </row>
    <row r="298" spans="3:8" x14ac:dyDescent="0.2">
      <c r="C298" s="15"/>
      <c r="D298" s="15"/>
      <c r="F298" s="16"/>
      <c r="G298" s="16"/>
      <c r="H298" s="16"/>
    </row>
    <row r="299" spans="3:8" x14ac:dyDescent="0.2">
      <c r="C299" s="15"/>
      <c r="D299" s="15"/>
      <c r="F299" s="16"/>
      <c r="G299" s="16"/>
      <c r="H299" s="16"/>
    </row>
    <row r="300" spans="3:8" x14ac:dyDescent="0.2">
      <c r="C300" s="15"/>
      <c r="D300" s="15"/>
      <c r="F300" s="16"/>
      <c r="G300" s="16"/>
      <c r="H300" s="16"/>
    </row>
    <row r="301" spans="3:8" x14ac:dyDescent="0.2">
      <c r="C301" s="15"/>
      <c r="D301" s="15"/>
      <c r="F301" s="16"/>
      <c r="G301" s="16"/>
      <c r="H301" s="16"/>
    </row>
    <row r="302" spans="3:8" x14ac:dyDescent="0.2">
      <c r="C302" s="15"/>
      <c r="D302" s="15"/>
      <c r="F302" s="16"/>
      <c r="G302" s="16"/>
      <c r="H302" s="16"/>
    </row>
    <row r="303" spans="3:8" x14ac:dyDescent="0.2">
      <c r="C303" s="15"/>
      <c r="D303" s="15"/>
      <c r="F303" s="16"/>
      <c r="G303" s="16"/>
      <c r="H303" s="16"/>
    </row>
    <row r="304" spans="3:8" x14ac:dyDescent="0.2">
      <c r="C304" s="15"/>
      <c r="D304" s="15"/>
      <c r="F304" s="16"/>
      <c r="G304" s="16"/>
      <c r="H304" s="16"/>
    </row>
    <row r="305" spans="3:8" x14ac:dyDescent="0.2">
      <c r="C305" s="15"/>
      <c r="D305" s="15"/>
      <c r="F305" s="16"/>
      <c r="G305" s="16"/>
      <c r="H305" s="16"/>
    </row>
    <row r="306" spans="3:8" x14ac:dyDescent="0.2">
      <c r="C306" s="15"/>
      <c r="D306" s="15"/>
      <c r="F306" s="16"/>
      <c r="G306" s="16"/>
      <c r="H306" s="16"/>
    </row>
    <row r="307" spans="3:8" x14ac:dyDescent="0.2">
      <c r="C307" s="15"/>
      <c r="D307" s="15"/>
      <c r="F307" s="16"/>
      <c r="G307" s="16"/>
      <c r="H307" s="16"/>
    </row>
    <row r="308" spans="3:8" x14ac:dyDescent="0.2">
      <c r="C308" s="15"/>
      <c r="D308" s="15"/>
      <c r="F308" s="16"/>
      <c r="G308" s="16"/>
      <c r="H308" s="16"/>
    </row>
    <row r="309" spans="3:8" x14ac:dyDescent="0.2">
      <c r="C309" s="15"/>
      <c r="D309" s="15"/>
      <c r="F309" s="16"/>
      <c r="G309" s="16"/>
      <c r="H309" s="16"/>
    </row>
    <row r="310" spans="3:8" x14ac:dyDescent="0.2">
      <c r="C310" s="15"/>
      <c r="D310" s="15"/>
      <c r="F310" s="16"/>
      <c r="G310" s="16"/>
      <c r="H310" s="16"/>
    </row>
    <row r="311" spans="3:8" x14ac:dyDescent="0.2">
      <c r="C311" s="15"/>
      <c r="D311" s="15"/>
      <c r="F311" s="16"/>
      <c r="G311" s="16"/>
      <c r="H311" s="16"/>
    </row>
    <row r="312" spans="3:8" x14ac:dyDescent="0.2">
      <c r="C312" s="15"/>
      <c r="D312" s="15"/>
      <c r="F312" s="16"/>
      <c r="G312" s="16"/>
      <c r="H312" s="16"/>
    </row>
    <row r="313" spans="3:8" x14ac:dyDescent="0.2">
      <c r="C313" s="15"/>
      <c r="D313" s="15"/>
      <c r="F313" s="16"/>
      <c r="G313" s="16"/>
      <c r="H313" s="16"/>
    </row>
    <row r="314" spans="3:8" x14ac:dyDescent="0.2">
      <c r="C314" s="15"/>
      <c r="D314" s="15"/>
      <c r="F314" s="16"/>
      <c r="G314" s="16"/>
      <c r="H314" s="16"/>
    </row>
    <row r="315" spans="3:8" x14ac:dyDescent="0.2">
      <c r="C315" s="15"/>
      <c r="D315" s="15"/>
      <c r="F315" s="16"/>
      <c r="G315" s="16"/>
      <c r="H315" s="16"/>
    </row>
    <row r="316" spans="3:8" x14ac:dyDescent="0.2">
      <c r="C316" s="15"/>
      <c r="D316" s="15"/>
      <c r="F316" s="16"/>
      <c r="G316" s="16"/>
      <c r="H316" s="16"/>
    </row>
    <row r="317" spans="3:8" x14ac:dyDescent="0.2">
      <c r="C317" s="15"/>
      <c r="D317" s="15"/>
      <c r="F317" s="16"/>
      <c r="G317" s="16"/>
      <c r="H317" s="16"/>
    </row>
    <row r="318" spans="3:8" x14ac:dyDescent="0.2">
      <c r="C318" s="15"/>
      <c r="D318" s="15"/>
      <c r="F318" s="16"/>
      <c r="G318" s="16"/>
      <c r="H318" s="16"/>
    </row>
    <row r="319" spans="3:8" x14ac:dyDescent="0.2">
      <c r="C319" s="15"/>
      <c r="D319" s="15"/>
      <c r="F319" s="16"/>
      <c r="G319" s="16"/>
      <c r="H319" s="16"/>
    </row>
    <row r="320" spans="3:8" x14ac:dyDescent="0.2">
      <c r="C320" s="15"/>
      <c r="D320" s="15"/>
      <c r="F320" s="16"/>
      <c r="G320" s="16"/>
      <c r="H320" s="16"/>
    </row>
    <row r="321" spans="3:8" x14ac:dyDescent="0.2">
      <c r="C321" s="15"/>
      <c r="D321" s="15"/>
      <c r="F321" s="16"/>
      <c r="G321" s="16"/>
      <c r="H321" s="16"/>
    </row>
    <row r="322" spans="3:8" x14ac:dyDescent="0.2">
      <c r="C322" s="15"/>
      <c r="D322" s="15"/>
      <c r="F322" s="16"/>
      <c r="G322" s="16"/>
      <c r="H322" s="16"/>
    </row>
    <row r="323" spans="3:8" x14ac:dyDescent="0.2">
      <c r="C323" s="15"/>
      <c r="D323" s="15"/>
      <c r="F323" s="16"/>
      <c r="G323" s="16"/>
      <c r="H323" s="16"/>
    </row>
    <row r="324" spans="3:8" x14ac:dyDescent="0.2">
      <c r="C324" s="15"/>
      <c r="D324" s="15"/>
      <c r="F324" s="16"/>
      <c r="G324" s="16"/>
      <c r="H324" s="16"/>
    </row>
    <row r="325" spans="3:8" x14ac:dyDescent="0.2">
      <c r="C325" s="15"/>
      <c r="D325" s="15"/>
      <c r="F325" s="16"/>
      <c r="G325" s="16"/>
      <c r="H325" s="16"/>
    </row>
    <row r="326" spans="3:8" x14ac:dyDescent="0.2">
      <c r="C326" s="15"/>
      <c r="D326" s="15"/>
      <c r="F326" s="16"/>
      <c r="G326" s="16"/>
      <c r="H326" s="16"/>
    </row>
    <row r="327" spans="3:8" x14ac:dyDescent="0.2">
      <c r="C327" s="15"/>
      <c r="D327" s="15"/>
      <c r="F327" s="16"/>
      <c r="G327" s="16"/>
      <c r="H327" s="16"/>
    </row>
    <row r="328" spans="3:8" x14ac:dyDescent="0.2">
      <c r="C328" s="15"/>
      <c r="D328" s="15"/>
      <c r="F328" s="16"/>
      <c r="G328" s="16"/>
      <c r="H328" s="16"/>
    </row>
    <row r="329" spans="3:8" x14ac:dyDescent="0.2">
      <c r="C329" s="15"/>
      <c r="D329" s="15"/>
      <c r="F329" s="16"/>
      <c r="G329" s="16"/>
      <c r="H329" s="16"/>
    </row>
    <row r="330" spans="3:8" x14ac:dyDescent="0.2">
      <c r="C330" s="15"/>
      <c r="D330" s="15"/>
      <c r="F330" s="16"/>
      <c r="G330" s="16"/>
      <c r="H330" s="16"/>
    </row>
    <row r="331" spans="3:8" x14ac:dyDescent="0.2">
      <c r="C331" s="15"/>
      <c r="D331" s="15"/>
      <c r="F331" s="16"/>
      <c r="G331" s="16"/>
      <c r="H331" s="16"/>
    </row>
    <row r="332" spans="3:8" x14ac:dyDescent="0.2">
      <c r="C332" s="15"/>
      <c r="D332" s="15"/>
      <c r="F332" s="16"/>
      <c r="G332" s="16"/>
      <c r="H332" s="16"/>
    </row>
    <row r="333" spans="3:8" x14ac:dyDescent="0.2">
      <c r="C333" s="15"/>
      <c r="D333" s="15"/>
      <c r="F333" s="16"/>
      <c r="G333" s="16"/>
      <c r="H333" s="16"/>
    </row>
    <row r="334" spans="3:8" x14ac:dyDescent="0.2">
      <c r="C334" s="15"/>
      <c r="D334" s="15"/>
      <c r="F334" s="16"/>
      <c r="G334" s="16"/>
      <c r="H334" s="16"/>
    </row>
    <row r="335" spans="3:8" x14ac:dyDescent="0.2">
      <c r="C335" s="15"/>
      <c r="D335" s="15"/>
      <c r="F335" s="16"/>
      <c r="G335" s="16"/>
      <c r="H335" s="16"/>
    </row>
    <row r="336" spans="3:8" x14ac:dyDescent="0.2">
      <c r="C336" s="15"/>
      <c r="D336" s="15"/>
      <c r="F336" s="16"/>
      <c r="G336" s="16"/>
      <c r="H336" s="16"/>
    </row>
    <row r="337" spans="3:8" x14ac:dyDescent="0.2">
      <c r="C337" s="15"/>
      <c r="D337" s="15"/>
      <c r="F337" s="16"/>
      <c r="G337" s="16"/>
      <c r="H337" s="16"/>
    </row>
    <row r="338" spans="3:8" x14ac:dyDescent="0.2">
      <c r="C338" s="15"/>
      <c r="D338" s="15"/>
      <c r="F338" s="16"/>
      <c r="G338" s="16"/>
      <c r="H338" s="16"/>
    </row>
    <row r="339" spans="3:8" x14ac:dyDescent="0.2">
      <c r="C339" s="15"/>
      <c r="D339" s="15"/>
      <c r="F339" s="16"/>
      <c r="G339" s="16"/>
      <c r="H339" s="16"/>
    </row>
    <row r="340" spans="3:8" x14ac:dyDescent="0.2">
      <c r="C340" s="15"/>
      <c r="D340" s="15"/>
      <c r="F340" s="16"/>
      <c r="G340" s="16"/>
      <c r="H340" s="16"/>
    </row>
    <row r="341" spans="3:8" x14ac:dyDescent="0.2">
      <c r="C341" s="15"/>
      <c r="D341" s="15"/>
      <c r="F341" s="16"/>
      <c r="G341" s="16"/>
      <c r="H341" s="16"/>
    </row>
    <row r="342" spans="3:8" x14ac:dyDescent="0.2">
      <c r="C342" s="15"/>
      <c r="D342" s="15"/>
      <c r="F342" s="16"/>
      <c r="G342" s="16"/>
      <c r="H342" s="16"/>
    </row>
    <row r="343" spans="3:8" x14ac:dyDescent="0.2">
      <c r="C343" s="15"/>
      <c r="D343" s="15"/>
      <c r="F343" s="16"/>
      <c r="G343" s="16"/>
      <c r="H343" s="16"/>
    </row>
    <row r="344" spans="3:8" x14ac:dyDescent="0.2">
      <c r="C344" s="15"/>
      <c r="D344" s="15"/>
      <c r="F344" s="16"/>
      <c r="G344" s="16"/>
      <c r="H344" s="16"/>
    </row>
    <row r="345" spans="3:8" x14ac:dyDescent="0.2">
      <c r="C345" s="15"/>
      <c r="D345" s="15"/>
      <c r="F345" s="16"/>
      <c r="G345" s="16"/>
      <c r="H345" s="16"/>
    </row>
    <row r="346" spans="3:8" x14ac:dyDescent="0.2">
      <c r="C346" s="15"/>
      <c r="D346" s="15"/>
      <c r="F346" s="16"/>
      <c r="G346" s="16"/>
      <c r="H346" s="16"/>
    </row>
    <row r="347" spans="3:8" x14ac:dyDescent="0.2">
      <c r="C347" s="15"/>
      <c r="D347" s="15"/>
      <c r="F347" s="16"/>
      <c r="G347" s="16"/>
      <c r="H347" s="16"/>
    </row>
    <row r="348" spans="3:8" x14ac:dyDescent="0.2">
      <c r="C348" s="15"/>
      <c r="D348" s="15"/>
      <c r="F348" s="16"/>
      <c r="G348" s="16"/>
      <c r="H348" s="16"/>
    </row>
    <row r="349" spans="3:8" x14ac:dyDescent="0.2">
      <c r="C349" s="15"/>
      <c r="D349" s="15"/>
      <c r="F349" s="16"/>
      <c r="G349" s="16"/>
      <c r="H349" s="16"/>
    </row>
    <row r="350" spans="3:8" x14ac:dyDescent="0.2">
      <c r="C350" s="15"/>
      <c r="D350" s="15"/>
      <c r="F350" s="16"/>
      <c r="G350" s="16"/>
      <c r="H350" s="16"/>
    </row>
    <row r="351" spans="3:8" x14ac:dyDescent="0.2">
      <c r="C351" s="15"/>
      <c r="D351" s="15"/>
      <c r="F351" s="16"/>
      <c r="G351" s="16"/>
      <c r="H351" s="16"/>
    </row>
    <row r="352" spans="3:8" x14ac:dyDescent="0.2">
      <c r="C352" s="15"/>
      <c r="D352" s="15"/>
      <c r="F352" s="16"/>
      <c r="G352" s="16"/>
      <c r="H352" s="16"/>
    </row>
    <row r="353" spans="3:8" x14ac:dyDescent="0.2">
      <c r="C353" s="15"/>
      <c r="D353" s="15"/>
      <c r="F353" s="16"/>
      <c r="G353" s="16"/>
      <c r="H353" s="16"/>
    </row>
    <row r="354" spans="3:8" x14ac:dyDescent="0.2">
      <c r="C354" s="15"/>
      <c r="D354" s="15"/>
      <c r="F354" s="16"/>
      <c r="G354" s="16"/>
      <c r="H354" s="16"/>
    </row>
    <row r="355" spans="3:8" x14ac:dyDescent="0.2">
      <c r="C355" s="15"/>
      <c r="D355" s="15"/>
      <c r="F355" s="16"/>
      <c r="G355" s="16"/>
      <c r="H355" s="16"/>
    </row>
    <row r="356" spans="3:8" x14ac:dyDescent="0.2">
      <c r="C356" s="15"/>
      <c r="D356" s="15"/>
      <c r="F356" s="16"/>
      <c r="G356" s="16"/>
      <c r="H356" s="16"/>
    </row>
    <row r="357" spans="3:8" x14ac:dyDescent="0.2">
      <c r="C357" s="15"/>
      <c r="D357" s="15"/>
      <c r="F357" s="16"/>
      <c r="G357" s="16"/>
      <c r="H357" s="16"/>
    </row>
    <row r="358" spans="3:8" x14ac:dyDescent="0.2">
      <c r="C358" s="15"/>
      <c r="D358" s="15"/>
      <c r="F358" s="16"/>
      <c r="G358" s="16"/>
      <c r="H358" s="16"/>
    </row>
    <row r="359" spans="3:8" x14ac:dyDescent="0.2">
      <c r="C359" s="15"/>
      <c r="D359" s="15"/>
      <c r="F359" s="16"/>
      <c r="G359" s="16"/>
      <c r="H359" s="16"/>
    </row>
    <row r="360" spans="3:8" x14ac:dyDescent="0.2">
      <c r="C360" s="15"/>
      <c r="D360" s="15"/>
      <c r="F360" s="16"/>
      <c r="G360" s="16"/>
      <c r="H360" s="16"/>
    </row>
    <row r="361" spans="3:8" x14ac:dyDescent="0.2">
      <c r="C361" s="15"/>
      <c r="D361" s="15"/>
      <c r="F361" s="16"/>
      <c r="G361" s="16"/>
      <c r="H361" s="16"/>
    </row>
    <row r="362" spans="3:8" x14ac:dyDescent="0.2">
      <c r="C362" s="15"/>
      <c r="D362" s="15"/>
      <c r="F362" s="16"/>
      <c r="G362" s="16"/>
      <c r="H362" s="16"/>
    </row>
    <row r="363" spans="3:8" x14ac:dyDescent="0.2">
      <c r="C363" s="15"/>
      <c r="D363" s="15"/>
      <c r="F363" s="16"/>
      <c r="G363" s="16"/>
      <c r="H363" s="16"/>
    </row>
    <row r="364" spans="3:8" x14ac:dyDescent="0.2">
      <c r="C364" s="15"/>
      <c r="D364" s="15"/>
      <c r="F364" s="16"/>
      <c r="G364" s="16"/>
      <c r="H364" s="16"/>
    </row>
    <row r="365" spans="3:8" x14ac:dyDescent="0.2">
      <c r="C365" s="15"/>
      <c r="D365" s="15"/>
      <c r="F365" s="16"/>
      <c r="G365" s="16"/>
      <c r="H365" s="16"/>
    </row>
    <row r="366" spans="3:8" x14ac:dyDescent="0.2">
      <c r="C366" s="15"/>
      <c r="D366" s="15"/>
      <c r="F366" s="16"/>
      <c r="G366" s="16"/>
      <c r="H366" s="16"/>
    </row>
    <row r="367" spans="3:8" x14ac:dyDescent="0.2">
      <c r="C367" s="15"/>
      <c r="D367" s="15"/>
      <c r="F367" s="16"/>
      <c r="G367" s="16"/>
      <c r="H367" s="16"/>
    </row>
    <row r="368" spans="3:8" x14ac:dyDescent="0.2">
      <c r="C368" s="15"/>
      <c r="D368" s="15"/>
      <c r="F368" s="16"/>
      <c r="G368" s="16"/>
      <c r="H368" s="16"/>
    </row>
    <row r="369" spans="3:8" x14ac:dyDescent="0.2">
      <c r="C369" s="15"/>
      <c r="D369" s="15"/>
      <c r="F369" s="16"/>
      <c r="G369" s="16"/>
      <c r="H369" s="16"/>
    </row>
    <row r="370" spans="3:8" x14ac:dyDescent="0.2">
      <c r="C370" s="15"/>
      <c r="D370" s="15"/>
      <c r="F370" s="16"/>
      <c r="G370" s="16"/>
      <c r="H370" s="16"/>
    </row>
    <row r="371" spans="3:8" x14ac:dyDescent="0.2">
      <c r="C371" s="15"/>
      <c r="D371" s="15"/>
      <c r="F371" s="16"/>
      <c r="G371" s="16"/>
      <c r="H371" s="16"/>
    </row>
    <row r="372" spans="3:8" x14ac:dyDescent="0.2">
      <c r="C372" s="15"/>
      <c r="D372" s="15"/>
      <c r="F372" s="16"/>
      <c r="G372" s="16"/>
      <c r="H372" s="16"/>
    </row>
    <row r="373" spans="3:8" x14ac:dyDescent="0.2">
      <c r="C373" s="15"/>
      <c r="D373" s="15"/>
      <c r="F373" s="16"/>
      <c r="G373" s="16"/>
      <c r="H373" s="16"/>
    </row>
    <row r="374" spans="3:8" x14ac:dyDescent="0.2">
      <c r="C374" s="15"/>
      <c r="D374" s="15"/>
      <c r="F374" s="16"/>
      <c r="G374" s="16"/>
      <c r="H374" s="16"/>
    </row>
    <row r="375" spans="3:8" x14ac:dyDescent="0.2">
      <c r="C375" s="15"/>
      <c r="D375" s="15"/>
      <c r="F375" s="16"/>
      <c r="G375" s="16"/>
      <c r="H375" s="16"/>
    </row>
    <row r="376" spans="3:8" x14ac:dyDescent="0.2">
      <c r="C376" s="15"/>
      <c r="D376" s="15"/>
      <c r="F376" s="16"/>
      <c r="G376" s="16"/>
      <c r="H376" s="16"/>
    </row>
    <row r="377" spans="3:8" x14ac:dyDescent="0.2">
      <c r="C377" s="15"/>
      <c r="D377" s="15"/>
      <c r="F377" s="16"/>
      <c r="G377" s="16"/>
      <c r="H377" s="16"/>
    </row>
    <row r="378" spans="3:8" x14ac:dyDescent="0.2">
      <c r="C378" s="15"/>
      <c r="D378" s="15"/>
      <c r="F378" s="16"/>
      <c r="G378" s="16"/>
      <c r="H378" s="16"/>
    </row>
    <row r="379" spans="3:8" x14ac:dyDescent="0.2">
      <c r="C379" s="15"/>
      <c r="D379" s="15"/>
      <c r="F379" s="16"/>
      <c r="G379" s="16"/>
      <c r="H379" s="16"/>
    </row>
    <row r="380" spans="3:8" x14ac:dyDescent="0.2">
      <c r="C380" s="15"/>
      <c r="D380" s="15"/>
      <c r="F380" s="16"/>
      <c r="G380" s="16"/>
      <c r="H380" s="16"/>
    </row>
    <row r="381" spans="3:8" x14ac:dyDescent="0.2">
      <c r="C381" s="15"/>
      <c r="D381" s="15"/>
      <c r="F381" s="16"/>
      <c r="G381" s="16"/>
      <c r="H381" s="16"/>
    </row>
    <row r="382" spans="3:8" x14ac:dyDescent="0.2">
      <c r="C382" s="15"/>
      <c r="D382" s="15"/>
      <c r="F382" s="16"/>
      <c r="G382" s="16"/>
      <c r="H382" s="16"/>
    </row>
    <row r="383" spans="3:8" x14ac:dyDescent="0.2">
      <c r="C383" s="15"/>
      <c r="D383" s="15"/>
      <c r="F383" s="16"/>
      <c r="G383" s="16"/>
      <c r="H383" s="16"/>
    </row>
    <row r="384" spans="3:8" x14ac:dyDescent="0.2">
      <c r="C384" s="15"/>
      <c r="D384" s="15"/>
      <c r="F384" s="16"/>
      <c r="G384" s="16"/>
      <c r="H384" s="16"/>
    </row>
    <row r="385" spans="3:8" x14ac:dyDescent="0.2">
      <c r="C385" s="15"/>
      <c r="D385" s="15"/>
      <c r="F385" s="16"/>
      <c r="G385" s="16"/>
      <c r="H385" s="16"/>
    </row>
    <row r="386" spans="3:8" x14ac:dyDescent="0.2">
      <c r="C386" s="15"/>
      <c r="D386" s="15"/>
      <c r="F386" s="16"/>
      <c r="G386" s="16"/>
      <c r="H386" s="16"/>
    </row>
    <row r="387" spans="3:8" x14ac:dyDescent="0.2">
      <c r="C387" s="15"/>
      <c r="D387" s="15"/>
      <c r="F387" s="16"/>
      <c r="G387" s="16"/>
      <c r="H387" s="16"/>
    </row>
    <row r="388" spans="3:8" x14ac:dyDescent="0.2">
      <c r="C388" s="15"/>
      <c r="D388" s="15"/>
      <c r="F388" s="16"/>
      <c r="G388" s="16"/>
      <c r="H388" s="16"/>
    </row>
    <row r="389" spans="3:8" x14ac:dyDescent="0.2">
      <c r="C389" s="15"/>
      <c r="D389" s="15"/>
      <c r="F389" s="16"/>
      <c r="G389" s="16"/>
      <c r="H389" s="16"/>
    </row>
    <row r="390" spans="3:8" x14ac:dyDescent="0.2">
      <c r="C390" s="15"/>
      <c r="D390" s="15"/>
      <c r="F390" s="16"/>
      <c r="G390" s="16"/>
      <c r="H390" s="16"/>
    </row>
    <row r="391" spans="3:8" x14ac:dyDescent="0.2">
      <c r="C391" s="15"/>
      <c r="D391" s="15"/>
      <c r="F391" s="16"/>
      <c r="G391" s="16"/>
      <c r="H391" s="16"/>
    </row>
    <row r="392" spans="3:8" x14ac:dyDescent="0.2">
      <c r="C392" s="15"/>
      <c r="D392" s="15"/>
      <c r="F392" s="16"/>
      <c r="G392" s="16"/>
      <c r="H392" s="16"/>
    </row>
    <row r="393" spans="3:8" x14ac:dyDescent="0.2">
      <c r="C393" s="15"/>
      <c r="D393" s="15"/>
      <c r="F393" s="16"/>
      <c r="G393" s="16"/>
      <c r="H393" s="16"/>
    </row>
    <row r="394" spans="3:8" x14ac:dyDescent="0.2">
      <c r="C394" s="15"/>
      <c r="D394" s="15"/>
      <c r="F394" s="16"/>
      <c r="G394" s="16"/>
      <c r="H394" s="16"/>
    </row>
    <row r="395" spans="3:8" x14ac:dyDescent="0.2">
      <c r="C395" s="15"/>
      <c r="D395" s="15"/>
      <c r="F395" s="16"/>
      <c r="G395" s="16"/>
      <c r="H395" s="16"/>
    </row>
    <row r="396" spans="3:8" x14ac:dyDescent="0.2">
      <c r="C396" s="15"/>
      <c r="D396" s="15"/>
      <c r="F396" s="16"/>
      <c r="G396" s="16"/>
      <c r="H396" s="16"/>
    </row>
    <row r="397" spans="3:8" x14ac:dyDescent="0.2">
      <c r="C397" s="15"/>
      <c r="D397" s="15"/>
      <c r="F397" s="16"/>
      <c r="G397" s="16"/>
      <c r="H397" s="16"/>
    </row>
    <row r="398" spans="3:8" x14ac:dyDescent="0.2">
      <c r="C398" s="15"/>
      <c r="D398" s="15"/>
      <c r="F398" s="16"/>
      <c r="G398" s="16"/>
      <c r="H398" s="16"/>
    </row>
    <row r="399" spans="3:8" x14ac:dyDescent="0.2">
      <c r="C399" s="15"/>
      <c r="D399" s="15"/>
      <c r="F399" s="16"/>
      <c r="G399" s="16"/>
      <c r="H399" s="16"/>
    </row>
    <row r="400" spans="3:8" x14ac:dyDescent="0.2">
      <c r="C400" s="15"/>
      <c r="D400" s="15"/>
      <c r="F400" s="16"/>
      <c r="G400" s="16"/>
      <c r="H400" s="16"/>
    </row>
    <row r="401" spans="3:8" x14ac:dyDescent="0.2">
      <c r="C401" s="15"/>
      <c r="D401" s="15"/>
      <c r="F401" s="16"/>
      <c r="G401" s="16"/>
      <c r="H401" s="16"/>
    </row>
    <row r="402" spans="3:8" x14ac:dyDescent="0.2">
      <c r="C402" s="15"/>
      <c r="D402" s="15"/>
      <c r="F402" s="16"/>
      <c r="G402" s="16"/>
      <c r="H402" s="16"/>
    </row>
    <row r="403" spans="3:8" x14ac:dyDescent="0.2">
      <c r="C403" s="15"/>
      <c r="D403" s="15"/>
      <c r="F403" s="16"/>
      <c r="G403" s="16"/>
      <c r="H403" s="16"/>
    </row>
    <row r="404" spans="3:8" x14ac:dyDescent="0.2">
      <c r="C404" s="15"/>
      <c r="D404" s="15"/>
      <c r="F404" s="16"/>
      <c r="G404" s="16"/>
      <c r="H404" s="16"/>
    </row>
    <row r="405" spans="3:8" x14ac:dyDescent="0.2">
      <c r="C405" s="15"/>
      <c r="D405" s="15"/>
      <c r="F405" s="16"/>
      <c r="G405" s="16"/>
      <c r="H405" s="16"/>
    </row>
    <row r="406" spans="3:8" x14ac:dyDescent="0.2">
      <c r="C406" s="15"/>
      <c r="D406" s="15"/>
      <c r="F406" s="16"/>
      <c r="G406" s="16"/>
      <c r="H406" s="16"/>
    </row>
    <row r="407" spans="3:8" x14ac:dyDescent="0.2">
      <c r="C407" s="15"/>
      <c r="D407" s="15"/>
      <c r="F407" s="16"/>
      <c r="G407" s="16"/>
      <c r="H407" s="16"/>
    </row>
    <row r="408" spans="3:8" x14ac:dyDescent="0.2">
      <c r="C408" s="15"/>
      <c r="D408" s="15"/>
      <c r="F408" s="16"/>
      <c r="G408" s="16"/>
      <c r="H408" s="16"/>
    </row>
    <row r="409" spans="3:8" x14ac:dyDescent="0.2">
      <c r="C409" s="15"/>
      <c r="D409" s="15"/>
      <c r="F409" s="16"/>
      <c r="G409" s="16"/>
      <c r="H409" s="16"/>
    </row>
    <row r="410" spans="3:8" x14ac:dyDescent="0.2">
      <c r="C410" s="15"/>
      <c r="D410" s="15"/>
      <c r="F410" s="16"/>
      <c r="G410" s="16"/>
      <c r="H410" s="16"/>
    </row>
    <row r="411" spans="3:8" x14ac:dyDescent="0.2">
      <c r="C411" s="15"/>
      <c r="D411" s="15"/>
      <c r="F411" s="16"/>
      <c r="G411" s="16"/>
      <c r="H411" s="16"/>
    </row>
    <row r="412" spans="3:8" x14ac:dyDescent="0.2">
      <c r="C412" s="15"/>
      <c r="D412" s="15"/>
      <c r="F412" s="16"/>
      <c r="G412" s="16"/>
      <c r="H412" s="16"/>
    </row>
    <row r="413" spans="3:8" x14ac:dyDescent="0.2">
      <c r="C413" s="15"/>
      <c r="D413" s="15"/>
      <c r="F413" s="16"/>
      <c r="G413" s="16"/>
      <c r="H413" s="16"/>
    </row>
    <row r="414" spans="3:8" x14ac:dyDescent="0.2">
      <c r="C414" s="15"/>
      <c r="D414" s="15"/>
      <c r="F414" s="16"/>
      <c r="G414" s="16"/>
      <c r="H414" s="16"/>
    </row>
    <row r="415" spans="3:8" x14ac:dyDescent="0.2">
      <c r="C415" s="15"/>
      <c r="D415" s="15"/>
      <c r="F415" s="16"/>
      <c r="G415" s="16"/>
      <c r="H415" s="16"/>
    </row>
    <row r="416" spans="3:8" x14ac:dyDescent="0.2">
      <c r="C416" s="15"/>
      <c r="D416" s="15"/>
      <c r="F416" s="16"/>
      <c r="G416" s="16"/>
      <c r="H416" s="16"/>
    </row>
    <row r="417" spans="3:8" x14ac:dyDescent="0.2">
      <c r="C417" s="15"/>
      <c r="D417" s="15"/>
      <c r="F417" s="16"/>
      <c r="G417" s="16"/>
      <c r="H417" s="16"/>
    </row>
    <row r="418" spans="3:8" x14ac:dyDescent="0.2">
      <c r="C418" s="15"/>
      <c r="D418" s="15"/>
      <c r="F418" s="16"/>
      <c r="G418" s="16"/>
      <c r="H418" s="16"/>
    </row>
    <row r="419" spans="3:8" x14ac:dyDescent="0.2">
      <c r="C419" s="15"/>
      <c r="D419" s="15"/>
      <c r="F419" s="16"/>
      <c r="G419" s="16"/>
      <c r="H419" s="16"/>
    </row>
    <row r="420" spans="3:8" x14ac:dyDescent="0.2">
      <c r="C420" s="15"/>
      <c r="D420" s="15"/>
      <c r="F420" s="16"/>
      <c r="G420" s="16"/>
      <c r="H420" s="16"/>
    </row>
    <row r="421" spans="3:8" x14ac:dyDescent="0.2">
      <c r="C421" s="15"/>
      <c r="D421" s="15"/>
      <c r="F421" s="16"/>
      <c r="G421" s="16"/>
      <c r="H421" s="16"/>
    </row>
    <row r="422" spans="3:8" x14ac:dyDescent="0.2">
      <c r="C422" s="15"/>
      <c r="D422" s="15"/>
    </row>
    <row r="423" spans="3:8" x14ac:dyDescent="0.2">
      <c r="C423" s="15"/>
      <c r="D423" s="15"/>
    </row>
    <row r="424" spans="3:8" x14ac:dyDescent="0.2">
      <c r="C424" s="15"/>
      <c r="D424" s="15"/>
    </row>
    <row r="425" spans="3:8" x14ac:dyDescent="0.2">
      <c r="C425" s="15"/>
      <c r="D425" s="15"/>
    </row>
    <row r="426" spans="3:8" x14ac:dyDescent="0.2">
      <c r="C426" s="15"/>
      <c r="D426" s="15"/>
    </row>
    <row r="427" spans="3:8" x14ac:dyDescent="0.2">
      <c r="C427" s="15"/>
      <c r="D427" s="15"/>
    </row>
    <row r="428" spans="3:8" x14ac:dyDescent="0.2">
      <c r="C428" s="15"/>
      <c r="D428" s="15"/>
    </row>
    <row r="429" spans="3:8" x14ac:dyDescent="0.2">
      <c r="C429" s="15"/>
      <c r="D429" s="15"/>
    </row>
    <row r="430" spans="3:8" x14ac:dyDescent="0.2">
      <c r="C430" s="15"/>
      <c r="D430" s="15"/>
    </row>
    <row r="431" spans="3:8" x14ac:dyDescent="0.2">
      <c r="C431" s="15"/>
      <c r="D431" s="15"/>
    </row>
    <row r="432" spans="3:8" x14ac:dyDescent="0.2">
      <c r="C432" s="15"/>
      <c r="D432" s="15"/>
    </row>
    <row r="433" spans="3:4" x14ac:dyDescent="0.2">
      <c r="C433" s="15"/>
      <c r="D433" s="15"/>
    </row>
    <row r="434" spans="3:4" x14ac:dyDescent="0.2">
      <c r="C434" s="15"/>
      <c r="D434" s="15"/>
    </row>
    <row r="435" spans="3:4" x14ac:dyDescent="0.2">
      <c r="C435" s="15"/>
      <c r="D435" s="15"/>
    </row>
    <row r="436" spans="3:4" x14ac:dyDescent="0.2">
      <c r="C436" s="15"/>
      <c r="D436" s="15"/>
    </row>
    <row r="437" spans="3:4" x14ac:dyDescent="0.2">
      <c r="C437" s="15"/>
      <c r="D437" s="15"/>
    </row>
    <row r="438" spans="3:4" x14ac:dyDescent="0.2">
      <c r="C438" s="15"/>
      <c r="D438" s="15"/>
    </row>
    <row r="439" spans="3:4" x14ac:dyDescent="0.2">
      <c r="C439" s="15"/>
      <c r="D439" s="15"/>
    </row>
    <row r="440" spans="3:4" x14ac:dyDescent="0.2">
      <c r="C440" s="15"/>
      <c r="D440" s="15"/>
    </row>
    <row r="441" spans="3:4" x14ac:dyDescent="0.2">
      <c r="C441" s="15"/>
      <c r="D441" s="15"/>
    </row>
    <row r="442" spans="3:4" x14ac:dyDescent="0.2">
      <c r="C442" s="15"/>
      <c r="D442" s="15"/>
    </row>
    <row r="443" spans="3:4" x14ac:dyDescent="0.2">
      <c r="C443" s="15"/>
      <c r="D443" s="15"/>
    </row>
    <row r="444" spans="3:4" x14ac:dyDescent="0.2">
      <c r="C444" s="15"/>
      <c r="D444" s="15"/>
    </row>
    <row r="445" spans="3:4" x14ac:dyDescent="0.2">
      <c r="C445" s="15"/>
      <c r="D445" s="15"/>
    </row>
    <row r="446" spans="3:4" x14ac:dyDescent="0.2">
      <c r="C446" s="15"/>
      <c r="D446" s="15"/>
    </row>
    <row r="447" spans="3:4" x14ac:dyDescent="0.2">
      <c r="C447" s="15"/>
      <c r="D447" s="15"/>
    </row>
    <row r="448" spans="3:4" x14ac:dyDescent="0.2">
      <c r="C448" s="15"/>
      <c r="D448" s="15"/>
    </row>
    <row r="449" spans="3:4" x14ac:dyDescent="0.2">
      <c r="C449" s="15"/>
      <c r="D449" s="15"/>
    </row>
    <row r="450" spans="3:4" x14ac:dyDescent="0.2">
      <c r="C450" s="15"/>
      <c r="D450" s="15"/>
    </row>
    <row r="451" spans="3:4" x14ac:dyDescent="0.2">
      <c r="C451" s="15"/>
      <c r="D451" s="15"/>
    </row>
    <row r="452" spans="3:4" x14ac:dyDescent="0.2">
      <c r="C452" s="15"/>
      <c r="D452" s="15"/>
    </row>
    <row r="453" spans="3:4" x14ac:dyDescent="0.2">
      <c r="C453" s="15"/>
      <c r="D453" s="15"/>
    </row>
    <row r="454" spans="3:4" x14ac:dyDescent="0.2">
      <c r="C454" s="15"/>
      <c r="D454" s="15"/>
    </row>
    <row r="455" spans="3:4" x14ac:dyDescent="0.2">
      <c r="C455" s="15"/>
      <c r="D455" s="15"/>
    </row>
    <row r="456" spans="3:4" x14ac:dyDescent="0.2">
      <c r="C456" s="15"/>
      <c r="D456" s="15"/>
    </row>
    <row r="457" spans="3:4" x14ac:dyDescent="0.2">
      <c r="C457" s="15"/>
      <c r="D457" s="15"/>
    </row>
    <row r="458" spans="3:4" x14ac:dyDescent="0.2">
      <c r="C458" s="15"/>
      <c r="D458" s="15"/>
    </row>
    <row r="459" spans="3:4" x14ac:dyDescent="0.2">
      <c r="C459" s="15"/>
      <c r="D459" s="15"/>
    </row>
    <row r="460" spans="3:4" x14ac:dyDescent="0.2">
      <c r="C460" s="15"/>
      <c r="D460" s="15"/>
    </row>
    <row r="461" spans="3:4" x14ac:dyDescent="0.2">
      <c r="C461" s="15"/>
      <c r="D461" s="15"/>
    </row>
    <row r="462" spans="3:4" x14ac:dyDescent="0.2">
      <c r="C462" s="15"/>
      <c r="D462" s="15"/>
    </row>
    <row r="463" spans="3:4" x14ac:dyDescent="0.2">
      <c r="C463" s="15"/>
      <c r="D463" s="15"/>
    </row>
    <row r="464" spans="3:4" x14ac:dyDescent="0.2">
      <c r="C464" s="15"/>
      <c r="D464" s="15"/>
    </row>
    <row r="465" spans="3:4" x14ac:dyDescent="0.2">
      <c r="C465" s="15"/>
      <c r="D465" s="15"/>
    </row>
    <row r="466" spans="3:4" x14ac:dyDescent="0.2">
      <c r="C466" s="15"/>
      <c r="D466" s="15"/>
    </row>
    <row r="467" spans="3:4" x14ac:dyDescent="0.2">
      <c r="C467" s="15"/>
      <c r="D467" s="15"/>
    </row>
    <row r="468" spans="3:4" x14ac:dyDescent="0.2">
      <c r="C468" s="15"/>
      <c r="D468" s="15"/>
    </row>
    <row r="469" spans="3:4" x14ac:dyDescent="0.2">
      <c r="C469" s="15"/>
      <c r="D469" s="15"/>
    </row>
    <row r="470" spans="3:4" x14ac:dyDescent="0.2">
      <c r="C470" s="15"/>
      <c r="D470" s="15"/>
    </row>
    <row r="471" spans="3:4" x14ac:dyDescent="0.2">
      <c r="C471" s="15"/>
      <c r="D471" s="15"/>
    </row>
    <row r="472" spans="3:4" x14ac:dyDescent="0.2">
      <c r="C472" s="15"/>
      <c r="D472" s="15"/>
    </row>
    <row r="473" spans="3:4" x14ac:dyDescent="0.2">
      <c r="C473" s="15"/>
      <c r="D473" s="15"/>
    </row>
    <row r="474" spans="3:4" x14ac:dyDescent="0.2">
      <c r="C474" s="15"/>
      <c r="D474" s="15"/>
    </row>
    <row r="475" spans="3:4" x14ac:dyDescent="0.2">
      <c r="C475" s="15"/>
      <c r="D475" s="15"/>
    </row>
    <row r="476" spans="3:4" x14ac:dyDescent="0.2">
      <c r="C476" s="15"/>
      <c r="D476" s="15"/>
    </row>
    <row r="477" spans="3:4" x14ac:dyDescent="0.2">
      <c r="C477" s="15"/>
      <c r="D477" s="15"/>
    </row>
    <row r="478" spans="3:4" x14ac:dyDescent="0.2">
      <c r="C478" s="15"/>
      <c r="D478" s="15"/>
    </row>
    <row r="479" spans="3:4" x14ac:dyDescent="0.2">
      <c r="C479" s="15"/>
      <c r="D479" s="15"/>
    </row>
    <row r="480" spans="3:4" x14ac:dyDescent="0.2">
      <c r="C480" s="15"/>
      <c r="D480" s="15"/>
    </row>
    <row r="481" spans="3:4" x14ac:dyDescent="0.2">
      <c r="C481" s="15"/>
      <c r="D481" s="15"/>
    </row>
    <row r="482" spans="3:4" x14ac:dyDescent="0.2">
      <c r="C482" s="15"/>
      <c r="D482" s="15"/>
    </row>
    <row r="483" spans="3:4" x14ac:dyDescent="0.2">
      <c r="C483" s="15"/>
      <c r="D483" s="15"/>
    </row>
    <row r="484" spans="3:4" x14ac:dyDescent="0.2">
      <c r="C484" s="15"/>
      <c r="D484" s="15"/>
    </row>
    <row r="485" spans="3:4" x14ac:dyDescent="0.2">
      <c r="C485" s="15"/>
      <c r="D485" s="15"/>
    </row>
    <row r="486" spans="3:4" x14ac:dyDescent="0.2">
      <c r="C486" s="15"/>
      <c r="D486" s="15"/>
    </row>
    <row r="487" spans="3:4" x14ac:dyDescent="0.2">
      <c r="C487" s="15"/>
      <c r="D487" s="15"/>
    </row>
    <row r="488" spans="3:4" x14ac:dyDescent="0.2">
      <c r="C488" s="15"/>
      <c r="D488" s="15"/>
    </row>
    <row r="489" spans="3:4" x14ac:dyDescent="0.2">
      <c r="C489" s="15"/>
      <c r="D489" s="15"/>
    </row>
    <row r="490" spans="3:4" x14ac:dyDescent="0.2">
      <c r="C490" s="15"/>
      <c r="D490" s="15"/>
    </row>
    <row r="491" spans="3:4" x14ac:dyDescent="0.2">
      <c r="C491" s="15"/>
      <c r="D491" s="15"/>
    </row>
    <row r="492" spans="3:4" x14ac:dyDescent="0.2">
      <c r="C492" s="15"/>
      <c r="D492" s="15"/>
    </row>
    <row r="493" spans="3:4" x14ac:dyDescent="0.2">
      <c r="C493" s="15"/>
      <c r="D493" s="15"/>
    </row>
    <row r="494" spans="3:4" x14ac:dyDescent="0.2">
      <c r="C494" s="15"/>
      <c r="D494" s="15"/>
    </row>
    <row r="495" spans="3:4" x14ac:dyDescent="0.2">
      <c r="C495" s="15"/>
      <c r="D495" s="15"/>
    </row>
    <row r="496" spans="3:4" x14ac:dyDescent="0.2">
      <c r="C496" s="15"/>
      <c r="D496" s="15"/>
    </row>
    <row r="497" spans="3:4" x14ac:dyDescent="0.2">
      <c r="C497" s="15"/>
      <c r="D497" s="15"/>
    </row>
    <row r="498" spans="3:4" x14ac:dyDescent="0.2">
      <c r="C498" s="15"/>
      <c r="D498" s="15"/>
    </row>
    <row r="499" spans="3:4" x14ac:dyDescent="0.2">
      <c r="C499" s="15"/>
      <c r="D499" s="15"/>
    </row>
    <row r="500" spans="3:4" x14ac:dyDescent="0.2">
      <c r="C500" s="15"/>
      <c r="D500" s="15"/>
    </row>
    <row r="501" spans="3:4" x14ac:dyDescent="0.2">
      <c r="C501" s="15"/>
      <c r="D501" s="15"/>
    </row>
    <row r="502" spans="3:4" x14ac:dyDescent="0.2">
      <c r="C502" s="15"/>
      <c r="D502" s="15"/>
    </row>
    <row r="503" spans="3:4" x14ac:dyDescent="0.2">
      <c r="C503" s="15"/>
      <c r="D503" s="15"/>
    </row>
    <row r="504" spans="3:4" x14ac:dyDescent="0.2">
      <c r="C504" s="15"/>
      <c r="D504" s="15"/>
    </row>
    <row r="505" spans="3:4" x14ac:dyDescent="0.2">
      <c r="C505" s="15"/>
      <c r="D505" s="15"/>
    </row>
    <row r="506" spans="3:4" x14ac:dyDescent="0.2">
      <c r="C506" s="15"/>
      <c r="D506" s="15"/>
    </row>
    <row r="507" spans="3:4" x14ac:dyDescent="0.2">
      <c r="C507" s="15"/>
      <c r="D507" s="15"/>
    </row>
    <row r="508" spans="3:4" x14ac:dyDescent="0.2">
      <c r="C508" s="15"/>
      <c r="D508" s="15"/>
    </row>
    <row r="509" spans="3:4" x14ac:dyDescent="0.2">
      <c r="C509" s="15"/>
      <c r="D509" s="15"/>
    </row>
    <row r="510" spans="3:4" x14ac:dyDescent="0.2">
      <c r="C510" s="15"/>
      <c r="D510" s="15"/>
    </row>
    <row r="511" spans="3:4" x14ac:dyDescent="0.2">
      <c r="C511" s="15"/>
      <c r="D511" s="15"/>
    </row>
    <row r="512" spans="3:4" x14ac:dyDescent="0.2">
      <c r="C512" s="15"/>
      <c r="D512" s="15"/>
    </row>
    <row r="513" spans="3:4" x14ac:dyDescent="0.2">
      <c r="C513" s="15"/>
      <c r="D513" s="15"/>
    </row>
    <row r="514" spans="3:4" x14ac:dyDescent="0.2">
      <c r="C514" s="15"/>
      <c r="D514" s="15"/>
    </row>
    <row r="515" spans="3:4" x14ac:dyDescent="0.2">
      <c r="C515" s="15"/>
      <c r="D515" s="15"/>
    </row>
    <row r="516" spans="3:4" x14ac:dyDescent="0.2">
      <c r="C516" s="15"/>
      <c r="D516" s="15"/>
    </row>
    <row r="517" spans="3:4" x14ac:dyDescent="0.2">
      <c r="C517" s="15"/>
      <c r="D517" s="15"/>
    </row>
    <row r="518" spans="3:4" x14ac:dyDescent="0.2">
      <c r="C518" s="15"/>
      <c r="D518" s="15"/>
    </row>
    <row r="519" spans="3:4" x14ac:dyDescent="0.2">
      <c r="C519" s="15"/>
      <c r="D519" s="15"/>
    </row>
    <row r="520" spans="3:4" x14ac:dyDescent="0.2">
      <c r="C520" s="15"/>
      <c r="D520" s="15"/>
    </row>
    <row r="521" spans="3:4" x14ac:dyDescent="0.2">
      <c r="C521" s="15"/>
      <c r="D521" s="15"/>
    </row>
    <row r="522" spans="3:4" x14ac:dyDescent="0.2">
      <c r="C522" s="15"/>
      <c r="D522" s="15"/>
    </row>
    <row r="523" spans="3:4" x14ac:dyDescent="0.2">
      <c r="C523" s="15"/>
      <c r="D523" s="15"/>
    </row>
    <row r="524" spans="3:4" x14ac:dyDescent="0.2">
      <c r="C524" s="15"/>
      <c r="D524" s="15"/>
    </row>
    <row r="525" spans="3:4" x14ac:dyDescent="0.2">
      <c r="C525" s="15"/>
      <c r="D525" s="15"/>
    </row>
    <row r="526" spans="3:4" x14ac:dyDescent="0.2">
      <c r="C526" s="15"/>
      <c r="D526" s="15"/>
    </row>
    <row r="527" spans="3:4" x14ac:dyDescent="0.2">
      <c r="C527" s="15"/>
      <c r="D527" s="15"/>
    </row>
    <row r="528" spans="3:4" x14ac:dyDescent="0.2">
      <c r="C528" s="15"/>
      <c r="D528" s="15"/>
    </row>
    <row r="529" spans="3:4" x14ac:dyDescent="0.2">
      <c r="C529" s="15"/>
      <c r="D529" s="15"/>
    </row>
    <row r="530" spans="3:4" x14ac:dyDescent="0.2">
      <c r="C530" s="15"/>
      <c r="D530" s="15"/>
    </row>
    <row r="531" spans="3:4" x14ac:dyDescent="0.2">
      <c r="C531" s="15"/>
      <c r="D531" s="15"/>
    </row>
    <row r="532" spans="3:4" x14ac:dyDescent="0.2">
      <c r="C532" s="15"/>
      <c r="D532" s="15"/>
    </row>
    <row r="533" spans="3:4" x14ac:dyDescent="0.2">
      <c r="C533" s="15"/>
      <c r="D533" s="15"/>
    </row>
    <row r="534" spans="3:4" x14ac:dyDescent="0.2">
      <c r="C534" s="15"/>
      <c r="D534" s="15"/>
    </row>
    <row r="535" spans="3:4" x14ac:dyDescent="0.2">
      <c r="C535" s="15"/>
      <c r="D535" s="15"/>
    </row>
    <row r="536" spans="3:4" x14ac:dyDescent="0.2">
      <c r="C536" s="15"/>
      <c r="D536" s="15"/>
    </row>
    <row r="537" spans="3:4" x14ac:dyDescent="0.2">
      <c r="C537" s="15"/>
      <c r="D537" s="15"/>
    </row>
    <row r="538" spans="3:4" x14ac:dyDescent="0.2">
      <c r="C538" s="15"/>
      <c r="D538" s="15"/>
    </row>
    <row r="539" spans="3:4" x14ac:dyDescent="0.2">
      <c r="C539" s="15"/>
      <c r="D539" s="15"/>
    </row>
    <row r="540" spans="3:4" x14ac:dyDescent="0.2">
      <c r="C540" s="15"/>
      <c r="D540" s="15"/>
    </row>
    <row r="541" spans="3:4" x14ac:dyDescent="0.2">
      <c r="C541" s="15"/>
      <c r="D541" s="15"/>
    </row>
    <row r="542" spans="3:4" x14ac:dyDescent="0.2">
      <c r="C542" s="15"/>
      <c r="D542" s="15"/>
    </row>
    <row r="543" spans="3:4" x14ac:dyDescent="0.2">
      <c r="C543" s="15"/>
      <c r="D543" s="15"/>
    </row>
    <row r="544" spans="3:4" x14ac:dyDescent="0.2">
      <c r="C544" s="15"/>
      <c r="D544" s="15"/>
    </row>
    <row r="545" spans="3:4" x14ac:dyDescent="0.2">
      <c r="C545" s="15"/>
      <c r="D545" s="15"/>
    </row>
    <row r="546" spans="3:4" x14ac:dyDescent="0.2">
      <c r="C546" s="15"/>
      <c r="D546" s="15"/>
    </row>
    <row r="547" spans="3:4" x14ac:dyDescent="0.2">
      <c r="C547" s="15"/>
      <c r="D547" s="15"/>
    </row>
    <row r="548" spans="3:4" x14ac:dyDescent="0.2">
      <c r="C548" s="15"/>
      <c r="D548" s="15"/>
    </row>
    <row r="549" spans="3:4" x14ac:dyDescent="0.2">
      <c r="C549" s="15"/>
      <c r="D549" s="15"/>
    </row>
    <row r="550" spans="3:4" x14ac:dyDescent="0.2">
      <c r="C550" s="15"/>
      <c r="D550" s="15"/>
    </row>
    <row r="551" spans="3:4" x14ac:dyDescent="0.2">
      <c r="C551" s="15"/>
      <c r="D551" s="15"/>
    </row>
    <row r="552" spans="3:4" x14ac:dyDescent="0.2">
      <c r="C552" s="15"/>
      <c r="D552" s="15"/>
    </row>
    <row r="553" spans="3:4" x14ac:dyDescent="0.2">
      <c r="C553" s="15"/>
      <c r="D553" s="15"/>
    </row>
    <row r="554" spans="3:4" x14ac:dyDescent="0.2">
      <c r="C554" s="15"/>
      <c r="D554" s="15"/>
    </row>
    <row r="555" spans="3:4" x14ac:dyDescent="0.2">
      <c r="C555" s="15"/>
      <c r="D555" s="15"/>
    </row>
    <row r="556" spans="3:4" x14ac:dyDescent="0.2">
      <c r="C556" s="15"/>
      <c r="D556" s="15"/>
    </row>
    <row r="557" spans="3:4" x14ac:dyDescent="0.2">
      <c r="C557" s="15"/>
      <c r="D557" s="15"/>
    </row>
    <row r="558" spans="3:4" x14ac:dyDescent="0.2">
      <c r="C558" s="15"/>
      <c r="D558" s="15"/>
    </row>
    <row r="559" spans="3:4" x14ac:dyDescent="0.2">
      <c r="C559" s="15"/>
      <c r="D559" s="15"/>
    </row>
    <row r="560" spans="3:4" x14ac:dyDescent="0.2">
      <c r="C560" s="15"/>
      <c r="D560" s="15"/>
    </row>
    <row r="561" spans="3:4" x14ac:dyDescent="0.2">
      <c r="C561" s="15"/>
      <c r="D561" s="15"/>
    </row>
    <row r="562" spans="3:4" x14ac:dyDescent="0.2">
      <c r="C562" s="15"/>
      <c r="D562" s="15"/>
    </row>
    <row r="563" spans="3:4" x14ac:dyDescent="0.2">
      <c r="C563" s="15"/>
      <c r="D563" s="15"/>
    </row>
    <row r="564" spans="3:4" x14ac:dyDescent="0.2">
      <c r="C564" s="15"/>
      <c r="D564" s="15"/>
    </row>
    <row r="565" spans="3:4" x14ac:dyDescent="0.2">
      <c r="C565" s="15"/>
      <c r="D565" s="15"/>
    </row>
    <row r="566" spans="3:4" x14ac:dyDescent="0.2">
      <c r="C566" s="15"/>
      <c r="D566" s="15"/>
    </row>
    <row r="567" spans="3:4" x14ac:dyDescent="0.2">
      <c r="C567" s="15"/>
      <c r="D567" s="15"/>
    </row>
    <row r="568" spans="3:4" x14ac:dyDescent="0.2">
      <c r="C568" s="15"/>
      <c r="D568" s="15"/>
    </row>
    <row r="569" spans="3:4" x14ac:dyDescent="0.2">
      <c r="C569" s="15"/>
      <c r="D569" s="15"/>
    </row>
    <row r="570" spans="3:4" x14ac:dyDescent="0.2">
      <c r="C570" s="15"/>
      <c r="D570" s="15"/>
    </row>
    <row r="571" spans="3:4" x14ac:dyDescent="0.2">
      <c r="C571" s="15"/>
      <c r="D571" s="15"/>
    </row>
    <row r="572" spans="3:4" x14ac:dyDescent="0.2">
      <c r="C572" s="15"/>
      <c r="D572" s="15"/>
    </row>
    <row r="573" spans="3:4" x14ac:dyDescent="0.2">
      <c r="C573" s="15"/>
      <c r="D573" s="15"/>
    </row>
    <row r="574" spans="3:4" x14ac:dyDescent="0.2">
      <c r="C574" s="15"/>
      <c r="D574" s="15"/>
    </row>
    <row r="575" spans="3:4" x14ac:dyDescent="0.2">
      <c r="C575" s="15"/>
      <c r="D575" s="15"/>
    </row>
    <row r="576" spans="3:4" x14ac:dyDescent="0.2">
      <c r="C576" s="15"/>
      <c r="D576" s="15"/>
    </row>
    <row r="577" spans="3:4" x14ac:dyDescent="0.2">
      <c r="C577" s="15"/>
      <c r="D577" s="15"/>
    </row>
    <row r="578" spans="3:4" x14ac:dyDescent="0.2">
      <c r="C578" s="15"/>
      <c r="D578" s="15"/>
    </row>
    <row r="579" spans="3:4" x14ac:dyDescent="0.2">
      <c r="C579" s="15"/>
      <c r="D579" s="15"/>
    </row>
    <row r="580" spans="3:4" x14ac:dyDescent="0.2">
      <c r="C580" s="15"/>
      <c r="D580" s="15"/>
    </row>
    <row r="581" spans="3:4" x14ac:dyDescent="0.2">
      <c r="C581" s="15"/>
      <c r="D581" s="15"/>
    </row>
    <row r="582" spans="3:4" x14ac:dyDescent="0.2">
      <c r="C582" s="15"/>
      <c r="D582" s="15"/>
    </row>
    <row r="583" spans="3:4" x14ac:dyDescent="0.2">
      <c r="C583" s="15"/>
      <c r="D583" s="15"/>
    </row>
    <row r="584" spans="3:4" x14ac:dyDescent="0.2">
      <c r="C584" s="15"/>
      <c r="D584" s="15"/>
    </row>
    <row r="585" spans="3:4" x14ac:dyDescent="0.2">
      <c r="C585" s="15"/>
      <c r="D585" s="15"/>
    </row>
    <row r="586" spans="3:4" x14ac:dyDescent="0.2">
      <c r="C586" s="15"/>
      <c r="D586" s="15"/>
    </row>
    <row r="587" spans="3:4" x14ac:dyDescent="0.2">
      <c r="C587" s="15"/>
      <c r="D587" s="15"/>
    </row>
    <row r="588" spans="3:4" x14ac:dyDescent="0.2">
      <c r="C588" s="15"/>
      <c r="D588" s="15"/>
    </row>
    <row r="589" spans="3:4" x14ac:dyDescent="0.2">
      <c r="C589" s="15"/>
      <c r="D589" s="15"/>
    </row>
    <row r="590" spans="3:4" x14ac:dyDescent="0.2">
      <c r="C590" s="15"/>
      <c r="D590" s="15"/>
    </row>
    <row r="591" spans="3:4" x14ac:dyDescent="0.2">
      <c r="C591" s="15"/>
      <c r="D591" s="15"/>
    </row>
    <row r="592" spans="3:4" x14ac:dyDescent="0.2">
      <c r="C592" s="15"/>
      <c r="D592" s="15"/>
    </row>
    <row r="593" spans="3:4" x14ac:dyDescent="0.2">
      <c r="C593" s="15"/>
      <c r="D593" s="15"/>
    </row>
    <row r="594" spans="3:4" x14ac:dyDescent="0.2">
      <c r="C594" s="15"/>
      <c r="D594" s="15"/>
    </row>
    <row r="595" spans="3:4" x14ac:dyDescent="0.2">
      <c r="C595" s="15"/>
      <c r="D595" s="15"/>
    </row>
    <row r="596" spans="3:4" x14ac:dyDescent="0.2">
      <c r="C596" s="15"/>
      <c r="D596" s="15"/>
    </row>
    <row r="597" spans="3:4" x14ac:dyDescent="0.2">
      <c r="C597" s="15"/>
      <c r="D597" s="15"/>
    </row>
    <row r="598" spans="3:4" x14ac:dyDescent="0.2">
      <c r="C598" s="15"/>
      <c r="D598" s="15"/>
    </row>
    <row r="599" spans="3:4" x14ac:dyDescent="0.2">
      <c r="C599" s="15"/>
      <c r="D599" s="15"/>
    </row>
    <row r="600" spans="3:4" x14ac:dyDescent="0.2">
      <c r="C600" s="15"/>
      <c r="D600" s="15"/>
    </row>
    <row r="601" spans="3:4" x14ac:dyDescent="0.2">
      <c r="C601" s="15"/>
      <c r="D601" s="15"/>
    </row>
    <row r="602" spans="3:4" x14ac:dyDescent="0.2">
      <c r="C602" s="15"/>
      <c r="D602" s="15"/>
    </row>
    <row r="603" spans="3:4" x14ac:dyDescent="0.2">
      <c r="C603" s="15"/>
      <c r="D603" s="15"/>
    </row>
    <row r="604" spans="3:4" x14ac:dyDescent="0.2">
      <c r="C604" s="15"/>
      <c r="D604" s="15"/>
    </row>
    <row r="605" spans="3:4" x14ac:dyDescent="0.2">
      <c r="C605" s="15"/>
      <c r="D605" s="15"/>
    </row>
    <row r="606" spans="3:4" x14ac:dyDescent="0.2">
      <c r="C606" s="15"/>
      <c r="D606" s="15"/>
    </row>
    <row r="607" spans="3:4" x14ac:dyDescent="0.2">
      <c r="C607" s="15"/>
      <c r="D607" s="15"/>
    </row>
    <row r="608" spans="3:4" x14ac:dyDescent="0.2">
      <c r="C608" s="15"/>
      <c r="D608" s="15"/>
    </row>
    <row r="609" spans="3:4" x14ac:dyDescent="0.2">
      <c r="C609" s="15"/>
      <c r="D609" s="15"/>
    </row>
    <row r="610" spans="3:4" x14ac:dyDescent="0.2">
      <c r="C610" s="15"/>
      <c r="D610" s="15"/>
    </row>
    <row r="611" spans="3:4" x14ac:dyDescent="0.2">
      <c r="C611" s="15"/>
      <c r="D611" s="15"/>
    </row>
    <row r="612" spans="3:4" x14ac:dyDescent="0.2">
      <c r="C612" s="15"/>
      <c r="D612" s="15"/>
    </row>
    <row r="613" spans="3:4" x14ac:dyDescent="0.2">
      <c r="C613" s="15"/>
      <c r="D613" s="15"/>
    </row>
    <row r="614" spans="3:4" x14ac:dyDescent="0.2">
      <c r="C614" s="15"/>
      <c r="D614" s="15"/>
    </row>
    <row r="615" spans="3:4" x14ac:dyDescent="0.2">
      <c r="C615" s="15"/>
      <c r="D615" s="15"/>
    </row>
    <row r="616" spans="3:4" x14ac:dyDescent="0.2">
      <c r="C616" s="15"/>
      <c r="D616" s="15"/>
    </row>
    <row r="617" spans="3:4" x14ac:dyDescent="0.2">
      <c r="C617" s="15"/>
      <c r="D617" s="15"/>
    </row>
    <row r="618" spans="3:4" x14ac:dyDescent="0.2">
      <c r="C618" s="15"/>
      <c r="D618" s="15"/>
    </row>
    <row r="619" spans="3:4" x14ac:dyDescent="0.2">
      <c r="C619" s="15"/>
      <c r="D619" s="15"/>
    </row>
    <row r="620" spans="3:4" x14ac:dyDescent="0.2">
      <c r="C620" s="15"/>
      <c r="D620" s="15"/>
    </row>
    <row r="621" spans="3:4" x14ac:dyDescent="0.2">
      <c r="C621" s="15"/>
      <c r="D621" s="15"/>
    </row>
    <row r="622" spans="3:4" x14ac:dyDescent="0.2">
      <c r="C622" s="15"/>
      <c r="D622" s="15"/>
    </row>
    <row r="623" spans="3:4" x14ac:dyDescent="0.2">
      <c r="C623" s="15"/>
      <c r="D623" s="15"/>
    </row>
    <row r="624" spans="3:4" x14ac:dyDescent="0.2">
      <c r="C624" s="15"/>
      <c r="D624" s="15"/>
    </row>
    <row r="625" spans="3:4" x14ac:dyDescent="0.2">
      <c r="C625" s="15"/>
      <c r="D625" s="15"/>
    </row>
    <row r="626" spans="3:4" x14ac:dyDescent="0.2">
      <c r="C626" s="15"/>
      <c r="D626" s="15"/>
    </row>
    <row r="627" spans="3:4" x14ac:dyDescent="0.2">
      <c r="C627" s="15"/>
      <c r="D627" s="15"/>
    </row>
    <row r="628" spans="3:4" x14ac:dyDescent="0.2">
      <c r="C628" s="15"/>
      <c r="D628" s="15"/>
    </row>
    <row r="629" spans="3:4" x14ac:dyDescent="0.2">
      <c r="C629" s="15"/>
      <c r="D629" s="15"/>
    </row>
    <row r="630" spans="3:4" x14ac:dyDescent="0.2">
      <c r="C630" s="15"/>
      <c r="D630" s="15"/>
    </row>
    <row r="631" spans="3:4" x14ac:dyDescent="0.2">
      <c r="C631" s="15"/>
      <c r="D631" s="15"/>
    </row>
    <row r="632" spans="3:4" x14ac:dyDescent="0.2">
      <c r="C632" s="15"/>
      <c r="D632" s="15"/>
    </row>
    <row r="633" spans="3:4" x14ac:dyDescent="0.2">
      <c r="C633" s="15"/>
      <c r="D633" s="15"/>
    </row>
    <row r="634" spans="3:4" x14ac:dyDescent="0.2">
      <c r="C634" s="15"/>
      <c r="D634" s="15"/>
    </row>
    <row r="635" spans="3:4" x14ac:dyDescent="0.2">
      <c r="C635" s="15"/>
      <c r="D635" s="15"/>
    </row>
    <row r="636" spans="3:4" x14ac:dyDescent="0.2">
      <c r="C636" s="15"/>
      <c r="D636" s="15"/>
    </row>
    <row r="637" spans="3:4" x14ac:dyDescent="0.2">
      <c r="C637" s="15"/>
      <c r="D637" s="15"/>
    </row>
    <row r="638" spans="3:4" x14ac:dyDescent="0.2">
      <c r="C638" s="15"/>
      <c r="D638" s="15"/>
    </row>
    <row r="639" spans="3:4" x14ac:dyDescent="0.2">
      <c r="C639" s="15"/>
      <c r="D639" s="15"/>
    </row>
    <row r="640" spans="3:4" x14ac:dyDescent="0.2">
      <c r="C640" s="15"/>
      <c r="D640" s="15"/>
    </row>
    <row r="641" spans="3:4" x14ac:dyDescent="0.2">
      <c r="C641" s="15"/>
      <c r="D641" s="15"/>
    </row>
    <row r="642" spans="3:4" x14ac:dyDescent="0.2">
      <c r="C642" s="15"/>
      <c r="D642" s="15"/>
    </row>
    <row r="643" spans="3:4" x14ac:dyDescent="0.2">
      <c r="C643" s="15"/>
      <c r="D643" s="15"/>
    </row>
    <row r="644" spans="3:4" x14ac:dyDescent="0.2">
      <c r="C644" s="15"/>
      <c r="D644" s="15"/>
    </row>
    <row r="645" spans="3:4" x14ac:dyDescent="0.2">
      <c r="C645" s="15"/>
      <c r="D645" s="15"/>
    </row>
    <row r="646" spans="3:4" x14ac:dyDescent="0.2">
      <c r="C646" s="15"/>
      <c r="D646" s="15"/>
    </row>
    <row r="647" spans="3:4" x14ac:dyDescent="0.2">
      <c r="C647" s="15"/>
      <c r="D647" s="15"/>
    </row>
    <row r="648" spans="3:4" x14ac:dyDescent="0.2">
      <c r="C648" s="15"/>
      <c r="D648" s="15"/>
    </row>
    <row r="649" spans="3:4" x14ac:dyDescent="0.2">
      <c r="C649" s="15"/>
      <c r="D649" s="15"/>
    </row>
    <row r="650" spans="3:4" x14ac:dyDescent="0.2">
      <c r="C650" s="15"/>
      <c r="D650" s="15"/>
    </row>
    <row r="651" spans="3:4" x14ac:dyDescent="0.2">
      <c r="C651" s="15"/>
      <c r="D651" s="15"/>
    </row>
    <row r="652" spans="3:4" x14ac:dyDescent="0.2">
      <c r="C652" s="15"/>
      <c r="D652" s="15"/>
    </row>
    <row r="653" spans="3:4" x14ac:dyDescent="0.2">
      <c r="C653" s="15"/>
      <c r="D653" s="15"/>
    </row>
    <row r="654" spans="3:4" x14ac:dyDescent="0.2">
      <c r="C654" s="15"/>
      <c r="D654" s="15"/>
    </row>
    <row r="655" spans="3:4" x14ac:dyDescent="0.2">
      <c r="C655" s="15"/>
      <c r="D655" s="15"/>
    </row>
    <row r="656" spans="3:4" x14ac:dyDescent="0.2">
      <c r="C656" s="15"/>
      <c r="D656" s="15"/>
    </row>
    <row r="657" spans="3:4" x14ac:dyDescent="0.2">
      <c r="C657" s="15"/>
      <c r="D657" s="15"/>
    </row>
    <row r="658" spans="3:4" x14ac:dyDescent="0.2">
      <c r="C658" s="15"/>
      <c r="D658" s="15"/>
    </row>
    <row r="659" spans="3:4" x14ac:dyDescent="0.2">
      <c r="C659" s="15"/>
      <c r="D659" s="15"/>
    </row>
    <row r="660" spans="3:4" x14ac:dyDescent="0.2">
      <c r="C660" s="15"/>
      <c r="D660" s="15"/>
    </row>
    <row r="661" spans="3:4" x14ac:dyDescent="0.2">
      <c r="C661" s="15"/>
      <c r="D661" s="15"/>
    </row>
    <row r="662" spans="3:4" x14ac:dyDescent="0.2">
      <c r="C662" s="15"/>
      <c r="D662" s="15"/>
    </row>
    <row r="663" spans="3:4" x14ac:dyDescent="0.2">
      <c r="C663" s="15"/>
      <c r="D663" s="15"/>
    </row>
    <row r="664" spans="3:4" x14ac:dyDescent="0.2">
      <c r="C664" s="15"/>
      <c r="D664" s="15"/>
    </row>
    <row r="665" spans="3:4" x14ac:dyDescent="0.2">
      <c r="C665" s="15"/>
      <c r="D665" s="15"/>
    </row>
    <row r="666" spans="3:4" x14ac:dyDescent="0.2">
      <c r="C666" s="15"/>
      <c r="D666" s="15"/>
    </row>
    <row r="667" spans="3:4" x14ac:dyDescent="0.2">
      <c r="C667" s="15"/>
      <c r="D667" s="15"/>
    </row>
    <row r="668" spans="3:4" x14ac:dyDescent="0.2">
      <c r="C668" s="15"/>
      <c r="D668" s="15"/>
    </row>
    <row r="669" spans="3:4" x14ac:dyDescent="0.2">
      <c r="C669" s="15"/>
      <c r="D669" s="15"/>
    </row>
    <row r="670" spans="3:4" x14ac:dyDescent="0.2">
      <c r="C670" s="15"/>
      <c r="D670" s="15"/>
    </row>
    <row r="671" spans="3:4" x14ac:dyDescent="0.2">
      <c r="C671" s="15"/>
      <c r="D671" s="15"/>
    </row>
    <row r="672" spans="3:4" x14ac:dyDescent="0.2">
      <c r="C672" s="15"/>
      <c r="D672" s="15"/>
    </row>
    <row r="673" spans="3:4" x14ac:dyDescent="0.2">
      <c r="C673" s="15"/>
      <c r="D673" s="15"/>
    </row>
    <row r="674" spans="3:4" x14ac:dyDescent="0.2">
      <c r="C674" s="15"/>
      <c r="D674" s="15"/>
    </row>
    <row r="675" spans="3:4" x14ac:dyDescent="0.2">
      <c r="C675" s="15"/>
      <c r="D675" s="15"/>
    </row>
    <row r="676" spans="3:4" x14ac:dyDescent="0.2">
      <c r="C676" s="15"/>
      <c r="D676" s="15"/>
    </row>
    <row r="677" spans="3:4" x14ac:dyDescent="0.2">
      <c r="C677" s="15"/>
      <c r="D677" s="15"/>
    </row>
    <row r="678" spans="3:4" x14ac:dyDescent="0.2">
      <c r="C678" s="15"/>
      <c r="D678" s="15"/>
    </row>
    <row r="679" spans="3:4" x14ac:dyDescent="0.2">
      <c r="C679" s="15"/>
      <c r="D679" s="15"/>
    </row>
    <row r="680" spans="3:4" x14ac:dyDescent="0.2">
      <c r="C680" s="15"/>
      <c r="D680" s="15"/>
    </row>
    <row r="681" spans="3:4" x14ac:dyDescent="0.2">
      <c r="C681" s="15"/>
      <c r="D681" s="15"/>
    </row>
    <row r="682" spans="3:4" x14ac:dyDescent="0.2">
      <c r="C682" s="15"/>
      <c r="D682" s="15"/>
    </row>
    <row r="683" spans="3:4" x14ac:dyDescent="0.2">
      <c r="C683" s="15"/>
      <c r="D683" s="15"/>
    </row>
    <row r="684" spans="3:4" x14ac:dyDescent="0.2">
      <c r="C684" s="15"/>
      <c r="D684" s="15"/>
    </row>
    <row r="685" spans="3:4" x14ac:dyDescent="0.2">
      <c r="C685" s="15"/>
      <c r="D685" s="15"/>
    </row>
    <row r="686" spans="3:4" x14ac:dyDescent="0.2">
      <c r="C686" s="15"/>
      <c r="D686" s="15"/>
    </row>
    <row r="687" spans="3:4" x14ac:dyDescent="0.2">
      <c r="C687" s="15"/>
      <c r="D687" s="15"/>
    </row>
    <row r="688" spans="3:4" x14ac:dyDescent="0.2">
      <c r="C688" s="15"/>
      <c r="D688" s="15"/>
    </row>
    <row r="689" spans="3:4" x14ac:dyDescent="0.2">
      <c r="C689" s="15"/>
      <c r="D689" s="15"/>
    </row>
    <row r="690" spans="3:4" x14ac:dyDescent="0.2">
      <c r="C690" s="15"/>
      <c r="D690" s="15"/>
    </row>
    <row r="691" spans="3:4" x14ac:dyDescent="0.2">
      <c r="C691" s="15"/>
      <c r="D691" s="15"/>
    </row>
    <row r="692" spans="3:4" x14ac:dyDescent="0.2">
      <c r="C692" s="15"/>
      <c r="D692" s="15"/>
    </row>
    <row r="693" spans="3:4" x14ac:dyDescent="0.2">
      <c r="C693" s="15"/>
      <c r="D693" s="15"/>
    </row>
    <row r="694" spans="3:4" x14ac:dyDescent="0.2">
      <c r="C694" s="15"/>
      <c r="D694" s="15"/>
    </row>
    <row r="695" spans="3:4" x14ac:dyDescent="0.2">
      <c r="C695" s="15"/>
      <c r="D695" s="15"/>
    </row>
    <row r="696" spans="3:4" x14ac:dyDescent="0.2">
      <c r="C696" s="15"/>
      <c r="D696" s="15"/>
    </row>
    <row r="697" spans="3:4" x14ac:dyDescent="0.2">
      <c r="C697" s="15"/>
      <c r="D697" s="15"/>
    </row>
    <row r="698" spans="3:4" x14ac:dyDescent="0.2">
      <c r="C698" s="15"/>
      <c r="D698" s="15"/>
    </row>
    <row r="699" spans="3:4" x14ac:dyDescent="0.2">
      <c r="C699" s="15"/>
      <c r="D699" s="15"/>
    </row>
    <row r="700" spans="3:4" x14ac:dyDescent="0.2">
      <c r="C700" s="15"/>
      <c r="D700" s="15"/>
    </row>
    <row r="701" spans="3:4" x14ac:dyDescent="0.2">
      <c r="C701" s="15"/>
      <c r="D701" s="15"/>
    </row>
    <row r="702" spans="3:4" x14ac:dyDescent="0.2">
      <c r="C702" s="15"/>
      <c r="D702" s="15"/>
    </row>
    <row r="703" spans="3:4" x14ac:dyDescent="0.2">
      <c r="C703" s="15"/>
      <c r="D703" s="15"/>
    </row>
    <row r="704" spans="3:4" x14ac:dyDescent="0.2">
      <c r="C704" s="15"/>
      <c r="D704" s="15"/>
    </row>
    <row r="705" spans="3:4" x14ac:dyDescent="0.2">
      <c r="C705" s="15"/>
      <c r="D705" s="15"/>
    </row>
    <row r="706" spans="3:4" x14ac:dyDescent="0.2">
      <c r="C706" s="15"/>
      <c r="D706" s="15"/>
    </row>
    <row r="707" spans="3:4" x14ac:dyDescent="0.2">
      <c r="C707" s="15"/>
      <c r="D707" s="15"/>
    </row>
    <row r="708" spans="3:4" x14ac:dyDescent="0.2">
      <c r="C708" s="15"/>
      <c r="D708" s="15"/>
    </row>
    <row r="709" spans="3:4" x14ac:dyDescent="0.2">
      <c r="C709" s="15"/>
      <c r="D709" s="15"/>
    </row>
    <row r="710" spans="3:4" x14ac:dyDescent="0.2">
      <c r="C710" s="15"/>
      <c r="D710" s="15"/>
    </row>
    <row r="711" spans="3:4" x14ac:dyDescent="0.2">
      <c r="C711" s="15"/>
      <c r="D711" s="15"/>
    </row>
    <row r="712" spans="3:4" x14ac:dyDescent="0.2">
      <c r="C712" s="15"/>
      <c r="D712" s="15"/>
    </row>
    <row r="713" spans="3:4" x14ac:dyDescent="0.2">
      <c r="C713" s="15"/>
      <c r="D713" s="15"/>
    </row>
    <row r="714" spans="3:4" x14ac:dyDescent="0.2">
      <c r="C714" s="15"/>
      <c r="D714" s="15"/>
    </row>
    <row r="715" spans="3:4" x14ac:dyDescent="0.2">
      <c r="C715" s="15"/>
      <c r="D715" s="15"/>
    </row>
    <row r="716" spans="3:4" x14ac:dyDescent="0.2">
      <c r="C716" s="15"/>
      <c r="D716" s="15"/>
    </row>
    <row r="717" spans="3:4" x14ac:dyDescent="0.2">
      <c r="C717" s="15"/>
      <c r="D717" s="15"/>
    </row>
    <row r="718" spans="3:4" x14ac:dyDescent="0.2">
      <c r="C718" s="15"/>
      <c r="D718" s="15"/>
    </row>
    <row r="719" spans="3:4" x14ac:dyDescent="0.2">
      <c r="C719" s="15"/>
      <c r="D719" s="15"/>
    </row>
    <row r="720" spans="3:4" x14ac:dyDescent="0.2">
      <c r="C720" s="15"/>
      <c r="D720" s="15"/>
    </row>
    <row r="721" spans="3:4" x14ac:dyDescent="0.2">
      <c r="C721" s="15"/>
      <c r="D721" s="15"/>
    </row>
    <row r="722" spans="3:4" x14ac:dyDescent="0.2">
      <c r="C722" s="15"/>
      <c r="D722" s="15"/>
    </row>
    <row r="723" spans="3:4" x14ac:dyDescent="0.2">
      <c r="C723" s="15"/>
      <c r="D723" s="15"/>
    </row>
    <row r="724" spans="3:4" x14ac:dyDescent="0.2">
      <c r="C724" s="15"/>
      <c r="D724" s="15"/>
    </row>
    <row r="725" spans="3:4" x14ac:dyDescent="0.2">
      <c r="C725" s="15"/>
      <c r="D725" s="15"/>
    </row>
    <row r="726" spans="3:4" x14ac:dyDescent="0.2">
      <c r="C726" s="15"/>
      <c r="D726" s="15"/>
    </row>
    <row r="727" spans="3:4" x14ac:dyDescent="0.2">
      <c r="C727" s="15"/>
      <c r="D727" s="15"/>
    </row>
    <row r="728" spans="3:4" x14ac:dyDescent="0.2">
      <c r="C728" s="15"/>
      <c r="D728" s="15"/>
    </row>
    <row r="729" spans="3:4" x14ac:dyDescent="0.2">
      <c r="C729" s="15"/>
      <c r="D729" s="15"/>
    </row>
    <row r="730" spans="3:4" x14ac:dyDescent="0.2">
      <c r="C730" s="15"/>
      <c r="D730" s="15"/>
    </row>
    <row r="731" spans="3:4" x14ac:dyDescent="0.2">
      <c r="C731" s="15"/>
      <c r="D731" s="15"/>
    </row>
    <row r="732" spans="3:4" x14ac:dyDescent="0.2">
      <c r="C732" s="15"/>
      <c r="D732" s="15"/>
    </row>
    <row r="733" spans="3:4" x14ac:dyDescent="0.2">
      <c r="C733" s="15"/>
      <c r="D733" s="15"/>
    </row>
    <row r="734" spans="3:4" x14ac:dyDescent="0.2">
      <c r="C734" s="15"/>
      <c r="D734" s="15"/>
    </row>
    <row r="735" spans="3:4" x14ac:dyDescent="0.2">
      <c r="C735" s="15"/>
      <c r="D735" s="15"/>
    </row>
    <row r="736" spans="3:4" x14ac:dyDescent="0.2">
      <c r="C736" s="15"/>
      <c r="D736" s="15"/>
    </row>
    <row r="737" spans="3:4" x14ac:dyDescent="0.2">
      <c r="C737" s="15"/>
      <c r="D737" s="15"/>
    </row>
    <row r="738" spans="3:4" x14ac:dyDescent="0.2">
      <c r="C738" s="15"/>
      <c r="D738" s="15"/>
    </row>
    <row r="739" spans="3:4" x14ac:dyDescent="0.2">
      <c r="C739" s="15"/>
      <c r="D739" s="15"/>
    </row>
    <row r="740" spans="3:4" x14ac:dyDescent="0.2">
      <c r="C740" s="15"/>
      <c r="D740" s="15"/>
    </row>
    <row r="741" spans="3:4" x14ac:dyDescent="0.2">
      <c r="C741" s="15"/>
      <c r="D741" s="15"/>
    </row>
    <row r="742" spans="3:4" x14ac:dyDescent="0.2">
      <c r="C742" s="15"/>
      <c r="D742" s="15"/>
    </row>
    <row r="743" spans="3:4" x14ac:dyDescent="0.2">
      <c r="C743" s="15"/>
      <c r="D743" s="15"/>
    </row>
    <row r="744" spans="3:4" x14ac:dyDescent="0.2">
      <c r="C744" s="15"/>
      <c r="D744" s="15"/>
    </row>
    <row r="745" spans="3:4" x14ac:dyDescent="0.2">
      <c r="C745" s="15"/>
      <c r="D745" s="15"/>
    </row>
    <row r="746" spans="3:4" x14ac:dyDescent="0.2">
      <c r="C746" s="15"/>
      <c r="D746" s="15"/>
    </row>
    <row r="747" spans="3:4" x14ac:dyDescent="0.2">
      <c r="C747" s="15"/>
      <c r="D747" s="15"/>
    </row>
    <row r="748" spans="3:4" x14ac:dyDescent="0.2">
      <c r="C748" s="15"/>
      <c r="D748" s="15"/>
    </row>
    <row r="749" spans="3:4" x14ac:dyDescent="0.2">
      <c r="C749" s="15"/>
      <c r="D749" s="15"/>
    </row>
    <row r="750" spans="3:4" x14ac:dyDescent="0.2">
      <c r="C750" s="15"/>
      <c r="D750" s="15"/>
    </row>
    <row r="751" spans="3:4" x14ac:dyDescent="0.2">
      <c r="C751" s="15"/>
      <c r="D751" s="15"/>
    </row>
    <row r="752" spans="3:4" x14ac:dyDescent="0.2">
      <c r="C752" s="15"/>
      <c r="D752" s="15"/>
    </row>
    <row r="753" spans="3:4" x14ac:dyDescent="0.2">
      <c r="C753" s="15"/>
      <c r="D753" s="15"/>
    </row>
    <row r="754" spans="3:4" x14ac:dyDescent="0.2">
      <c r="C754" s="15"/>
      <c r="D754" s="15"/>
    </row>
    <row r="755" spans="3:4" x14ac:dyDescent="0.2">
      <c r="C755" s="15"/>
      <c r="D755" s="15"/>
    </row>
    <row r="756" spans="3:4" x14ac:dyDescent="0.2">
      <c r="C756" s="15"/>
      <c r="D756" s="15"/>
    </row>
    <row r="757" spans="3:4" x14ac:dyDescent="0.2">
      <c r="C757" s="15"/>
      <c r="D757" s="15"/>
    </row>
    <row r="758" spans="3:4" x14ac:dyDescent="0.2">
      <c r="C758" s="15"/>
      <c r="D758" s="15"/>
    </row>
    <row r="759" spans="3:4" x14ac:dyDescent="0.2">
      <c r="C759" s="15"/>
      <c r="D759" s="15"/>
    </row>
    <row r="760" spans="3:4" x14ac:dyDescent="0.2">
      <c r="C760" s="15"/>
      <c r="D760" s="15"/>
    </row>
    <row r="761" spans="3:4" x14ac:dyDescent="0.2">
      <c r="C761" s="15"/>
      <c r="D761" s="15"/>
    </row>
    <row r="762" spans="3:4" x14ac:dyDescent="0.2">
      <c r="C762" s="15"/>
      <c r="D762" s="15"/>
    </row>
    <row r="763" spans="3:4" x14ac:dyDescent="0.2">
      <c r="C763" s="15"/>
      <c r="D763" s="15"/>
    </row>
    <row r="764" spans="3:4" x14ac:dyDescent="0.2">
      <c r="C764" s="15"/>
      <c r="D764" s="15"/>
    </row>
    <row r="765" spans="3:4" x14ac:dyDescent="0.2">
      <c r="C765" s="15"/>
      <c r="D765" s="15"/>
    </row>
    <row r="766" spans="3:4" x14ac:dyDescent="0.2">
      <c r="C766" s="15"/>
      <c r="D766" s="15"/>
    </row>
    <row r="767" spans="3:4" x14ac:dyDescent="0.2">
      <c r="C767" s="15"/>
      <c r="D767" s="15"/>
    </row>
    <row r="768" spans="3:4" x14ac:dyDescent="0.2">
      <c r="C768" s="15"/>
      <c r="D768" s="15"/>
    </row>
    <row r="769" spans="3:4" x14ac:dyDescent="0.2">
      <c r="C769" s="15"/>
      <c r="D769" s="15"/>
    </row>
    <row r="770" spans="3:4" x14ac:dyDescent="0.2">
      <c r="C770" s="15"/>
      <c r="D770" s="15"/>
    </row>
    <row r="771" spans="3:4" x14ac:dyDescent="0.2">
      <c r="C771" s="15"/>
      <c r="D771" s="15"/>
    </row>
    <row r="772" spans="3:4" x14ac:dyDescent="0.2">
      <c r="C772" s="15"/>
      <c r="D772" s="15"/>
    </row>
    <row r="773" spans="3:4" x14ac:dyDescent="0.2">
      <c r="C773" s="15"/>
      <c r="D773" s="15"/>
    </row>
    <row r="774" spans="3:4" x14ac:dyDescent="0.2">
      <c r="C774" s="15"/>
      <c r="D774" s="15"/>
    </row>
    <row r="775" spans="3:4" x14ac:dyDescent="0.2">
      <c r="C775" s="15"/>
      <c r="D775" s="15"/>
    </row>
    <row r="776" spans="3:4" x14ac:dyDescent="0.2">
      <c r="C776" s="15"/>
      <c r="D776" s="15"/>
    </row>
    <row r="777" spans="3:4" x14ac:dyDescent="0.2">
      <c r="C777" s="15"/>
      <c r="D777" s="15"/>
    </row>
    <row r="778" spans="3:4" x14ac:dyDescent="0.2">
      <c r="C778" s="15"/>
      <c r="D778" s="15"/>
    </row>
    <row r="779" spans="3:4" x14ac:dyDescent="0.2">
      <c r="C779" s="15"/>
      <c r="D779" s="15"/>
    </row>
    <row r="780" spans="3:4" x14ac:dyDescent="0.2">
      <c r="C780" s="15"/>
      <c r="D780" s="15"/>
    </row>
    <row r="781" spans="3:4" x14ac:dyDescent="0.2">
      <c r="C781" s="15"/>
      <c r="D781" s="15"/>
    </row>
    <row r="782" spans="3:4" x14ac:dyDescent="0.2">
      <c r="C782" s="15"/>
      <c r="D782" s="15"/>
    </row>
    <row r="783" spans="3:4" x14ac:dyDescent="0.2">
      <c r="C783" s="15"/>
      <c r="D783" s="15"/>
    </row>
    <row r="784" spans="3:4" x14ac:dyDescent="0.2">
      <c r="C784" s="15"/>
      <c r="D784" s="15"/>
    </row>
    <row r="785" spans="3:4" x14ac:dyDescent="0.2">
      <c r="C785" s="15"/>
      <c r="D785" s="15"/>
    </row>
    <row r="786" spans="3:4" x14ac:dyDescent="0.2">
      <c r="C786" s="15"/>
      <c r="D786" s="15"/>
    </row>
    <row r="787" spans="3:4" x14ac:dyDescent="0.2">
      <c r="C787" s="15"/>
      <c r="D787" s="15"/>
    </row>
    <row r="788" spans="3:4" x14ac:dyDescent="0.2">
      <c r="C788" s="15"/>
      <c r="D788" s="15"/>
    </row>
    <row r="789" spans="3:4" x14ac:dyDescent="0.2">
      <c r="C789" s="15"/>
      <c r="D789" s="15"/>
    </row>
    <row r="790" spans="3:4" x14ac:dyDescent="0.2">
      <c r="C790" s="15"/>
      <c r="D790" s="15"/>
    </row>
    <row r="791" spans="3:4" x14ac:dyDescent="0.2">
      <c r="C791" s="15"/>
      <c r="D791" s="15"/>
    </row>
    <row r="792" spans="3:4" x14ac:dyDescent="0.2">
      <c r="C792" s="15"/>
      <c r="D792" s="15"/>
    </row>
    <row r="793" spans="3:4" x14ac:dyDescent="0.2">
      <c r="C793" s="15"/>
      <c r="D793" s="15"/>
    </row>
    <row r="794" spans="3:4" x14ac:dyDescent="0.2">
      <c r="C794" s="15"/>
      <c r="D794" s="15"/>
    </row>
    <row r="795" spans="3:4" x14ac:dyDescent="0.2">
      <c r="C795" s="15"/>
      <c r="D795" s="15"/>
    </row>
    <row r="796" spans="3:4" x14ac:dyDescent="0.2">
      <c r="C796" s="15"/>
      <c r="D796" s="15"/>
    </row>
    <row r="797" spans="3:4" x14ac:dyDescent="0.2">
      <c r="C797" s="15"/>
      <c r="D797" s="15"/>
    </row>
    <row r="798" spans="3:4" x14ac:dyDescent="0.2">
      <c r="C798" s="15"/>
      <c r="D798" s="15"/>
    </row>
    <row r="799" spans="3:4" x14ac:dyDescent="0.2">
      <c r="C799" s="15"/>
      <c r="D799" s="15"/>
    </row>
    <row r="800" spans="3:4" x14ac:dyDescent="0.2">
      <c r="C800" s="15"/>
      <c r="D800" s="15"/>
    </row>
    <row r="801" spans="3:4" x14ac:dyDescent="0.2">
      <c r="C801" s="15"/>
      <c r="D801" s="15"/>
    </row>
    <row r="802" spans="3:4" x14ac:dyDescent="0.2">
      <c r="C802" s="15"/>
      <c r="D802" s="15"/>
    </row>
    <row r="803" spans="3:4" x14ac:dyDescent="0.2">
      <c r="C803" s="15"/>
      <c r="D803" s="15"/>
    </row>
    <row r="804" spans="3:4" x14ac:dyDescent="0.2">
      <c r="C804" s="15"/>
      <c r="D804" s="15"/>
    </row>
    <row r="805" spans="3:4" x14ac:dyDescent="0.2">
      <c r="C805" s="15"/>
      <c r="D805" s="15"/>
    </row>
    <row r="806" spans="3:4" x14ac:dyDescent="0.2">
      <c r="C806" s="15"/>
      <c r="D806" s="15"/>
    </row>
    <row r="807" spans="3:4" x14ac:dyDescent="0.2">
      <c r="C807" s="15"/>
      <c r="D807" s="15"/>
    </row>
    <row r="808" spans="3:4" x14ac:dyDescent="0.2">
      <c r="C808" s="15"/>
      <c r="D808" s="15"/>
    </row>
    <row r="809" spans="3:4" x14ac:dyDescent="0.2">
      <c r="C809" s="15"/>
      <c r="D809" s="15"/>
    </row>
    <row r="810" spans="3:4" x14ac:dyDescent="0.2">
      <c r="C810" s="15"/>
      <c r="D810" s="15"/>
    </row>
    <row r="811" spans="3:4" x14ac:dyDescent="0.2">
      <c r="C811" s="15"/>
      <c r="D811" s="15"/>
    </row>
    <row r="812" spans="3:4" x14ac:dyDescent="0.2">
      <c r="C812" s="15"/>
      <c r="D812" s="15"/>
    </row>
    <row r="813" spans="3:4" x14ac:dyDescent="0.2">
      <c r="C813" s="15"/>
      <c r="D813" s="15"/>
    </row>
    <row r="814" spans="3:4" x14ac:dyDescent="0.2">
      <c r="C814" s="15"/>
      <c r="D814" s="15"/>
    </row>
    <row r="815" spans="3:4" x14ac:dyDescent="0.2">
      <c r="C815" s="15"/>
      <c r="D815" s="15"/>
    </row>
    <row r="816" spans="3:4" x14ac:dyDescent="0.2">
      <c r="C816" s="15"/>
      <c r="D816" s="15"/>
    </row>
    <row r="817" spans="3:4" x14ac:dyDescent="0.2">
      <c r="C817" s="15"/>
      <c r="D817" s="15"/>
    </row>
    <row r="818" spans="3:4" x14ac:dyDescent="0.2">
      <c r="C818" s="15"/>
      <c r="D818" s="15"/>
    </row>
    <row r="819" spans="3:4" x14ac:dyDescent="0.2">
      <c r="C819" s="15"/>
      <c r="D819" s="15"/>
    </row>
    <row r="820" spans="3:4" x14ac:dyDescent="0.2">
      <c r="C820" s="15"/>
      <c r="D820" s="15"/>
    </row>
    <row r="821" spans="3:4" x14ac:dyDescent="0.2">
      <c r="C821" s="15"/>
      <c r="D821" s="15"/>
    </row>
    <row r="822" spans="3:4" x14ac:dyDescent="0.2">
      <c r="C822" s="15"/>
      <c r="D822" s="15"/>
    </row>
    <row r="823" spans="3:4" x14ac:dyDescent="0.2">
      <c r="C823" s="15"/>
      <c r="D823" s="15"/>
    </row>
    <row r="824" spans="3:4" x14ac:dyDescent="0.2">
      <c r="C824" s="15"/>
      <c r="D824" s="15"/>
    </row>
    <row r="825" spans="3:4" x14ac:dyDescent="0.2">
      <c r="C825" s="15"/>
      <c r="D825" s="15"/>
    </row>
    <row r="826" spans="3:4" x14ac:dyDescent="0.2">
      <c r="C826" s="15"/>
      <c r="D826" s="15"/>
    </row>
    <row r="827" spans="3:4" x14ac:dyDescent="0.2">
      <c r="C827" s="15"/>
      <c r="D827" s="15"/>
    </row>
    <row r="828" spans="3:4" x14ac:dyDescent="0.2">
      <c r="C828" s="15"/>
      <c r="D828" s="15"/>
    </row>
    <row r="829" spans="3:4" x14ac:dyDescent="0.2">
      <c r="C829" s="15"/>
      <c r="D829" s="15"/>
    </row>
    <row r="830" spans="3:4" x14ac:dyDescent="0.2">
      <c r="C830" s="15"/>
      <c r="D830" s="15"/>
    </row>
    <row r="831" spans="3:4" x14ac:dyDescent="0.2">
      <c r="C831" s="15"/>
      <c r="D831" s="15"/>
    </row>
    <row r="832" spans="3:4" x14ac:dyDescent="0.2">
      <c r="C832" s="15"/>
      <c r="D832" s="15"/>
    </row>
    <row r="833" spans="3:4" x14ac:dyDescent="0.2">
      <c r="C833" s="15"/>
      <c r="D833" s="15"/>
    </row>
    <row r="834" spans="3:4" x14ac:dyDescent="0.2">
      <c r="C834" s="15"/>
      <c r="D834" s="15"/>
    </row>
    <row r="835" spans="3:4" x14ac:dyDescent="0.2">
      <c r="C835" s="15"/>
      <c r="D835" s="15"/>
    </row>
    <row r="836" spans="3:4" x14ac:dyDescent="0.2">
      <c r="C836" s="15"/>
      <c r="D836" s="15"/>
    </row>
    <row r="837" spans="3:4" x14ac:dyDescent="0.2">
      <c r="C837" s="15"/>
      <c r="D837" s="15"/>
    </row>
    <row r="838" spans="3:4" x14ac:dyDescent="0.2">
      <c r="C838" s="15"/>
      <c r="D838" s="15"/>
    </row>
    <row r="839" spans="3:4" x14ac:dyDescent="0.2">
      <c r="C839" s="15"/>
      <c r="D839" s="15"/>
    </row>
    <row r="840" spans="3:4" x14ac:dyDescent="0.2">
      <c r="C840" s="15"/>
      <c r="D840" s="15"/>
    </row>
    <row r="841" spans="3:4" x14ac:dyDescent="0.2">
      <c r="C841" s="15"/>
      <c r="D841" s="15"/>
    </row>
    <row r="842" spans="3:4" x14ac:dyDescent="0.2">
      <c r="C842" s="15"/>
      <c r="D842" s="15"/>
    </row>
    <row r="843" spans="3:4" x14ac:dyDescent="0.2">
      <c r="C843" s="15"/>
      <c r="D843" s="15"/>
    </row>
    <row r="844" spans="3:4" x14ac:dyDescent="0.2">
      <c r="C844" s="15"/>
      <c r="D844" s="15"/>
    </row>
    <row r="845" spans="3:4" x14ac:dyDescent="0.2">
      <c r="C845" s="15"/>
      <c r="D845" s="15"/>
    </row>
    <row r="846" spans="3:4" x14ac:dyDescent="0.2">
      <c r="C846" s="15"/>
      <c r="D846" s="15"/>
    </row>
    <row r="847" spans="3:4" x14ac:dyDescent="0.2">
      <c r="C847" s="15"/>
      <c r="D847" s="15"/>
    </row>
    <row r="848" spans="3:4" x14ac:dyDescent="0.2">
      <c r="C848" s="15"/>
      <c r="D848" s="15"/>
    </row>
    <row r="849" spans="3:4" x14ac:dyDescent="0.2">
      <c r="C849" s="15"/>
      <c r="D849" s="15"/>
    </row>
    <row r="850" spans="3:4" x14ac:dyDescent="0.2">
      <c r="C850" s="15"/>
      <c r="D850" s="15"/>
    </row>
    <row r="851" spans="3:4" x14ac:dyDescent="0.2">
      <c r="C851" s="15"/>
      <c r="D851" s="15"/>
    </row>
    <row r="852" spans="3:4" x14ac:dyDescent="0.2">
      <c r="C852" s="15"/>
      <c r="D852" s="15"/>
    </row>
    <row r="853" spans="3:4" x14ac:dyDescent="0.2">
      <c r="C853" s="15"/>
      <c r="D853" s="15"/>
    </row>
    <row r="854" spans="3:4" x14ac:dyDescent="0.2">
      <c r="C854" s="15"/>
      <c r="D854" s="15"/>
    </row>
    <row r="855" spans="3:4" x14ac:dyDescent="0.2">
      <c r="C855" s="15"/>
      <c r="D855" s="15"/>
    </row>
    <row r="856" spans="3:4" x14ac:dyDescent="0.2">
      <c r="C856" s="15"/>
      <c r="D856" s="15"/>
    </row>
    <row r="857" spans="3:4" x14ac:dyDescent="0.2">
      <c r="C857" s="15"/>
      <c r="D857" s="15"/>
    </row>
    <row r="858" spans="3:4" x14ac:dyDescent="0.2">
      <c r="C858" s="15"/>
      <c r="D858" s="15"/>
    </row>
    <row r="859" spans="3:4" x14ac:dyDescent="0.2">
      <c r="C859" s="15"/>
      <c r="D859" s="15"/>
    </row>
    <row r="860" spans="3:4" x14ac:dyDescent="0.2">
      <c r="C860" s="15"/>
      <c r="D860" s="15"/>
    </row>
    <row r="861" spans="3:4" x14ac:dyDescent="0.2">
      <c r="C861" s="15"/>
      <c r="D861" s="15"/>
    </row>
    <row r="862" spans="3:4" x14ac:dyDescent="0.2">
      <c r="C862" s="15"/>
      <c r="D862" s="15"/>
    </row>
    <row r="863" spans="3:4" x14ac:dyDescent="0.2">
      <c r="C863" s="15"/>
      <c r="D863" s="15"/>
    </row>
    <row r="864" spans="3:4" x14ac:dyDescent="0.2">
      <c r="C864" s="15"/>
      <c r="D864" s="15"/>
    </row>
    <row r="865" spans="3:4" x14ac:dyDescent="0.2">
      <c r="C865" s="15"/>
      <c r="D865" s="15"/>
    </row>
    <row r="866" spans="3:4" x14ac:dyDescent="0.2">
      <c r="C866" s="15"/>
      <c r="D866" s="15"/>
    </row>
    <row r="867" spans="3:4" x14ac:dyDescent="0.2">
      <c r="C867" s="15"/>
      <c r="D867" s="15"/>
    </row>
    <row r="868" spans="3:4" x14ac:dyDescent="0.2">
      <c r="C868" s="15"/>
      <c r="D868" s="15"/>
    </row>
    <row r="869" spans="3:4" x14ac:dyDescent="0.2">
      <c r="C869" s="15"/>
      <c r="D869" s="15"/>
    </row>
    <row r="870" spans="3:4" x14ac:dyDescent="0.2">
      <c r="C870" s="15"/>
      <c r="D870" s="15"/>
    </row>
    <row r="871" spans="3:4" x14ac:dyDescent="0.2">
      <c r="C871" s="15"/>
      <c r="D871" s="15"/>
    </row>
    <row r="872" spans="3:4" x14ac:dyDescent="0.2">
      <c r="C872" s="15"/>
      <c r="D872" s="15"/>
    </row>
    <row r="873" spans="3:4" x14ac:dyDescent="0.2">
      <c r="C873" s="15"/>
      <c r="D873" s="15"/>
    </row>
    <row r="874" spans="3:4" x14ac:dyDescent="0.2">
      <c r="C874" s="15"/>
      <c r="D874" s="15"/>
    </row>
    <row r="875" spans="3:4" x14ac:dyDescent="0.2">
      <c r="C875" s="15"/>
      <c r="D875" s="15"/>
    </row>
    <row r="876" spans="3:4" x14ac:dyDescent="0.2">
      <c r="C876" s="15"/>
      <c r="D876" s="15"/>
    </row>
    <row r="877" spans="3:4" x14ac:dyDescent="0.2">
      <c r="C877" s="15"/>
      <c r="D877" s="15"/>
    </row>
    <row r="878" spans="3:4" x14ac:dyDescent="0.2">
      <c r="C878" s="15"/>
      <c r="D878" s="15"/>
    </row>
    <row r="879" spans="3:4" x14ac:dyDescent="0.2">
      <c r="C879" s="15"/>
      <c r="D879" s="15"/>
    </row>
    <row r="880" spans="3:4" x14ac:dyDescent="0.2">
      <c r="C880" s="15"/>
      <c r="D880" s="15"/>
    </row>
    <row r="881" spans="3:4" x14ac:dyDescent="0.2">
      <c r="C881" s="15"/>
      <c r="D881" s="15"/>
    </row>
    <row r="882" spans="3:4" x14ac:dyDescent="0.2">
      <c r="C882" s="15"/>
      <c r="D882" s="15"/>
    </row>
    <row r="883" spans="3:4" x14ac:dyDescent="0.2">
      <c r="C883" s="15"/>
      <c r="D883" s="15"/>
    </row>
    <row r="884" spans="3:4" x14ac:dyDescent="0.2">
      <c r="C884" s="15"/>
      <c r="D884" s="15"/>
    </row>
    <row r="885" spans="3:4" x14ac:dyDescent="0.2">
      <c r="C885" s="15"/>
      <c r="D885" s="15"/>
    </row>
    <row r="886" spans="3:4" x14ac:dyDescent="0.2">
      <c r="C886" s="15"/>
      <c r="D886" s="15"/>
    </row>
    <row r="887" spans="3:4" x14ac:dyDescent="0.2">
      <c r="C887" s="15"/>
      <c r="D887" s="15"/>
    </row>
    <row r="888" spans="3:4" x14ac:dyDescent="0.2">
      <c r="C888" s="15"/>
      <c r="D888" s="15"/>
    </row>
    <row r="889" spans="3:4" x14ac:dyDescent="0.2">
      <c r="C889" s="15"/>
      <c r="D889" s="15"/>
    </row>
    <row r="890" spans="3:4" x14ac:dyDescent="0.2">
      <c r="C890" s="15"/>
      <c r="D890" s="15"/>
    </row>
    <row r="891" spans="3:4" x14ac:dyDescent="0.2">
      <c r="C891" s="15"/>
      <c r="D891" s="15"/>
    </row>
    <row r="892" spans="3:4" x14ac:dyDescent="0.2">
      <c r="C892" s="15"/>
      <c r="D892" s="15"/>
    </row>
    <row r="893" spans="3:4" x14ac:dyDescent="0.2">
      <c r="C893" s="15"/>
      <c r="D893" s="15"/>
    </row>
    <row r="894" spans="3:4" x14ac:dyDescent="0.2">
      <c r="C894" s="15"/>
      <c r="D894" s="15"/>
    </row>
    <row r="895" spans="3:4" x14ac:dyDescent="0.2">
      <c r="C895" s="15"/>
      <c r="D895" s="15"/>
    </row>
    <row r="896" spans="3:4" x14ac:dyDescent="0.2">
      <c r="C896" s="15"/>
      <c r="D896" s="15"/>
    </row>
    <row r="897" spans="3:4" x14ac:dyDescent="0.2">
      <c r="C897" s="15"/>
      <c r="D897" s="15"/>
    </row>
    <row r="898" spans="3:4" x14ac:dyDescent="0.2">
      <c r="C898" s="15"/>
      <c r="D898" s="15"/>
    </row>
    <row r="899" spans="3:4" x14ac:dyDescent="0.2">
      <c r="C899" s="15"/>
      <c r="D899" s="15"/>
    </row>
    <row r="900" spans="3:4" x14ac:dyDescent="0.2">
      <c r="C900" s="15"/>
      <c r="D900" s="15"/>
    </row>
    <row r="901" spans="3:4" x14ac:dyDescent="0.2">
      <c r="C901" s="15"/>
      <c r="D901" s="15"/>
    </row>
    <row r="902" spans="3:4" x14ac:dyDescent="0.2">
      <c r="C902" s="15"/>
      <c r="D902" s="15"/>
    </row>
    <row r="903" spans="3:4" x14ac:dyDescent="0.2">
      <c r="C903" s="15"/>
      <c r="D903" s="15"/>
    </row>
    <row r="904" spans="3:4" x14ac:dyDescent="0.2">
      <c r="C904" s="15"/>
      <c r="D904" s="15"/>
    </row>
    <row r="905" spans="3:4" x14ac:dyDescent="0.2">
      <c r="C905" s="15"/>
      <c r="D905" s="15"/>
    </row>
    <row r="906" spans="3:4" x14ac:dyDescent="0.2">
      <c r="C906" s="15"/>
      <c r="D906" s="15"/>
    </row>
    <row r="907" spans="3:4" x14ac:dyDescent="0.2">
      <c r="C907" s="15"/>
      <c r="D907" s="15"/>
    </row>
    <row r="908" spans="3:4" x14ac:dyDescent="0.2">
      <c r="C908" s="15"/>
      <c r="D908" s="15"/>
    </row>
    <row r="909" spans="3:4" x14ac:dyDescent="0.2">
      <c r="C909" s="15"/>
      <c r="D909" s="15"/>
    </row>
    <row r="910" spans="3:4" x14ac:dyDescent="0.2">
      <c r="C910" s="15"/>
      <c r="D910" s="15"/>
    </row>
    <row r="911" spans="3:4" x14ac:dyDescent="0.2">
      <c r="C911" s="15"/>
      <c r="D911" s="15"/>
    </row>
    <row r="912" spans="3:4" x14ac:dyDescent="0.2">
      <c r="C912" s="15"/>
      <c r="D912" s="15"/>
    </row>
    <row r="913" spans="3:4" x14ac:dyDescent="0.2">
      <c r="C913" s="15"/>
      <c r="D913" s="15"/>
    </row>
    <row r="914" spans="3:4" x14ac:dyDescent="0.2">
      <c r="C914" s="15"/>
      <c r="D914" s="15"/>
    </row>
    <row r="915" spans="3:4" x14ac:dyDescent="0.2">
      <c r="C915" s="15"/>
      <c r="D915" s="15"/>
    </row>
    <row r="916" spans="3:4" x14ac:dyDescent="0.2">
      <c r="C916" s="15"/>
      <c r="D916" s="15"/>
    </row>
    <row r="917" spans="3:4" x14ac:dyDescent="0.2">
      <c r="C917" s="15"/>
      <c r="D917" s="15"/>
    </row>
    <row r="918" spans="3:4" x14ac:dyDescent="0.2">
      <c r="C918" s="15"/>
      <c r="D918" s="15"/>
    </row>
    <row r="919" spans="3:4" x14ac:dyDescent="0.2">
      <c r="C919" s="15"/>
      <c r="D919" s="15"/>
    </row>
    <row r="920" spans="3:4" x14ac:dyDescent="0.2">
      <c r="C920" s="15"/>
      <c r="D920" s="15"/>
    </row>
    <row r="921" spans="3:4" x14ac:dyDescent="0.2">
      <c r="C921" s="15"/>
      <c r="D921" s="15"/>
    </row>
    <row r="922" spans="3:4" x14ac:dyDescent="0.2">
      <c r="C922" s="15"/>
      <c r="D922" s="15"/>
    </row>
    <row r="923" spans="3:4" x14ac:dyDescent="0.2">
      <c r="C923" s="15"/>
      <c r="D923" s="15"/>
    </row>
    <row r="924" spans="3:4" x14ac:dyDescent="0.2">
      <c r="C924" s="15"/>
      <c r="D924" s="15"/>
    </row>
    <row r="925" spans="3:4" x14ac:dyDescent="0.2">
      <c r="C925" s="15"/>
      <c r="D925" s="15"/>
    </row>
    <row r="926" spans="3:4" x14ac:dyDescent="0.2">
      <c r="C926" s="15"/>
      <c r="D926" s="15"/>
    </row>
    <row r="927" spans="3:4" x14ac:dyDescent="0.2">
      <c r="C927" s="15"/>
      <c r="D927" s="15"/>
    </row>
    <row r="928" spans="3:4" x14ac:dyDescent="0.2">
      <c r="C928" s="15"/>
      <c r="D928" s="15"/>
    </row>
    <row r="929" spans="3:4" x14ac:dyDescent="0.2">
      <c r="C929" s="15"/>
      <c r="D929" s="15"/>
    </row>
    <row r="930" spans="3:4" x14ac:dyDescent="0.2">
      <c r="C930" s="15"/>
      <c r="D930" s="15"/>
    </row>
    <row r="931" spans="3:4" x14ac:dyDescent="0.2">
      <c r="C931" s="15"/>
      <c r="D931" s="15"/>
    </row>
    <row r="932" spans="3:4" x14ac:dyDescent="0.2">
      <c r="C932" s="15"/>
      <c r="D932" s="15"/>
    </row>
    <row r="933" spans="3:4" x14ac:dyDescent="0.2">
      <c r="C933" s="15"/>
      <c r="D933" s="15"/>
    </row>
    <row r="934" spans="3:4" x14ac:dyDescent="0.2">
      <c r="C934" s="15"/>
      <c r="D934" s="15"/>
    </row>
    <row r="935" spans="3:4" x14ac:dyDescent="0.2">
      <c r="C935" s="15"/>
      <c r="D935" s="15"/>
    </row>
    <row r="936" spans="3:4" x14ac:dyDescent="0.2">
      <c r="C936" s="15"/>
      <c r="D936" s="15"/>
    </row>
    <row r="937" spans="3:4" x14ac:dyDescent="0.2">
      <c r="C937" s="15"/>
      <c r="D937" s="15"/>
    </row>
    <row r="938" spans="3:4" x14ac:dyDescent="0.2">
      <c r="C938" s="15"/>
      <c r="D938" s="15"/>
    </row>
    <row r="939" spans="3:4" x14ac:dyDescent="0.2">
      <c r="C939" s="15"/>
      <c r="D939" s="15"/>
    </row>
    <row r="940" spans="3:4" x14ac:dyDescent="0.2">
      <c r="C940" s="15"/>
      <c r="D940" s="15"/>
    </row>
    <row r="941" spans="3:4" x14ac:dyDescent="0.2">
      <c r="C941" s="15"/>
      <c r="D941" s="15"/>
    </row>
    <row r="942" spans="3:4" x14ac:dyDescent="0.2">
      <c r="C942" s="15"/>
      <c r="D942" s="15"/>
    </row>
    <row r="943" spans="3:4" x14ac:dyDescent="0.2">
      <c r="C943" s="15"/>
      <c r="D943" s="15"/>
    </row>
    <row r="944" spans="3:4" x14ac:dyDescent="0.2">
      <c r="C944" s="15"/>
      <c r="D944" s="15"/>
    </row>
    <row r="945" spans="3:4" x14ac:dyDescent="0.2">
      <c r="C945" s="15"/>
      <c r="D945" s="15"/>
    </row>
    <row r="946" spans="3:4" x14ac:dyDescent="0.2">
      <c r="C946" s="15"/>
      <c r="D946" s="15"/>
    </row>
    <row r="947" spans="3:4" x14ac:dyDescent="0.2">
      <c r="C947" s="15"/>
      <c r="D947" s="15"/>
    </row>
    <row r="948" spans="3:4" x14ac:dyDescent="0.2">
      <c r="C948" s="15"/>
      <c r="D948" s="15"/>
    </row>
    <row r="949" spans="3:4" x14ac:dyDescent="0.2">
      <c r="C949" s="15"/>
      <c r="D949" s="15"/>
    </row>
    <row r="950" spans="3:4" x14ac:dyDescent="0.2">
      <c r="C950" s="15"/>
      <c r="D950" s="15"/>
    </row>
    <row r="951" spans="3:4" x14ac:dyDescent="0.2">
      <c r="C951" s="15"/>
      <c r="D951" s="15"/>
    </row>
    <row r="952" spans="3:4" x14ac:dyDescent="0.2">
      <c r="C952" s="15"/>
      <c r="D952" s="15"/>
    </row>
    <row r="953" spans="3:4" x14ac:dyDescent="0.2">
      <c r="C953" s="15"/>
      <c r="D953" s="15"/>
    </row>
    <row r="954" spans="3:4" x14ac:dyDescent="0.2">
      <c r="C954" s="15"/>
      <c r="D954" s="15"/>
    </row>
    <row r="955" spans="3:4" x14ac:dyDescent="0.2">
      <c r="C955" s="15"/>
      <c r="D955" s="15"/>
    </row>
    <row r="956" spans="3:4" x14ac:dyDescent="0.2">
      <c r="C956" s="15"/>
      <c r="D956" s="15"/>
    </row>
    <row r="957" spans="3:4" x14ac:dyDescent="0.2">
      <c r="C957" s="15"/>
      <c r="D957" s="15"/>
    </row>
    <row r="958" spans="3:4" x14ac:dyDescent="0.2">
      <c r="C958" s="15"/>
      <c r="D958" s="15"/>
    </row>
    <row r="959" spans="3:4" x14ac:dyDescent="0.2">
      <c r="C959" s="15"/>
      <c r="D959" s="15"/>
    </row>
    <row r="960" spans="3:4" x14ac:dyDescent="0.2">
      <c r="C960" s="15"/>
      <c r="D960" s="15"/>
    </row>
    <row r="961" spans="3:4" x14ac:dyDescent="0.2">
      <c r="C961" s="15"/>
      <c r="D961" s="15"/>
    </row>
    <row r="962" spans="3:4" x14ac:dyDescent="0.2">
      <c r="C962" s="15"/>
      <c r="D962" s="15"/>
    </row>
    <row r="963" spans="3:4" x14ac:dyDescent="0.2">
      <c r="C963" s="15"/>
      <c r="D963" s="15"/>
    </row>
    <row r="964" spans="3:4" x14ac:dyDescent="0.2">
      <c r="C964" s="15"/>
      <c r="D964" s="15"/>
    </row>
    <row r="965" spans="3:4" x14ac:dyDescent="0.2">
      <c r="C965" s="15"/>
      <c r="D965" s="15"/>
    </row>
    <row r="966" spans="3:4" x14ac:dyDescent="0.2">
      <c r="C966" s="15"/>
      <c r="D966" s="15"/>
    </row>
    <row r="967" spans="3:4" x14ac:dyDescent="0.2">
      <c r="C967" s="15"/>
      <c r="D967" s="15"/>
    </row>
    <row r="968" spans="3:4" x14ac:dyDescent="0.2">
      <c r="C968" s="15"/>
      <c r="D968" s="15"/>
    </row>
    <row r="969" spans="3:4" x14ac:dyDescent="0.2">
      <c r="C969" s="15"/>
      <c r="D969" s="15"/>
    </row>
    <row r="970" spans="3:4" x14ac:dyDescent="0.2">
      <c r="C970" s="15"/>
      <c r="D970" s="15"/>
    </row>
    <row r="971" spans="3:4" x14ac:dyDescent="0.2">
      <c r="C971" s="15"/>
      <c r="D971" s="15"/>
    </row>
    <row r="972" spans="3:4" x14ac:dyDescent="0.2">
      <c r="C972" s="15"/>
      <c r="D972" s="15"/>
    </row>
    <row r="973" spans="3:4" x14ac:dyDescent="0.2">
      <c r="C973" s="15"/>
      <c r="D973" s="15"/>
    </row>
    <row r="974" spans="3:4" x14ac:dyDescent="0.2">
      <c r="C974" s="15"/>
      <c r="D974" s="15"/>
    </row>
    <row r="975" spans="3:4" x14ac:dyDescent="0.2">
      <c r="C975" s="15"/>
      <c r="D975" s="15"/>
    </row>
    <row r="976" spans="3:4" x14ac:dyDescent="0.2">
      <c r="C976" s="15"/>
      <c r="D976" s="15"/>
    </row>
    <row r="977" spans="3:4" x14ac:dyDescent="0.2">
      <c r="C977" s="15"/>
      <c r="D977" s="15"/>
    </row>
    <row r="978" spans="3:4" x14ac:dyDescent="0.2">
      <c r="C978" s="15"/>
      <c r="D978" s="15"/>
    </row>
    <row r="979" spans="3:4" x14ac:dyDescent="0.2">
      <c r="C979" s="15"/>
      <c r="D979" s="15"/>
    </row>
    <row r="980" spans="3:4" x14ac:dyDescent="0.2">
      <c r="C980" s="15"/>
      <c r="D980" s="15"/>
    </row>
    <row r="981" spans="3:4" x14ac:dyDescent="0.2">
      <c r="C981" s="15"/>
      <c r="D981" s="15"/>
    </row>
    <row r="982" spans="3:4" x14ac:dyDescent="0.2">
      <c r="C982" s="15"/>
      <c r="D982" s="15"/>
    </row>
    <row r="983" spans="3:4" x14ac:dyDescent="0.2">
      <c r="C983" s="15"/>
      <c r="D983" s="15"/>
    </row>
    <row r="984" spans="3:4" x14ac:dyDescent="0.2">
      <c r="C984" s="15"/>
      <c r="D984" s="15"/>
    </row>
    <row r="985" spans="3:4" x14ac:dyDescent="0.2">
      <c r="C985" s="15"/>
      <c r="D985" s="15"/>
    </row>
    <row r="986" spans="3:4" x14ac:dyDescent="0.2">
      <c r="C986" s="15"/>
      <c r="D986" s="15"/>
    </row>
    <row r="987" spans="3:4" x14ac:dyDescent="0.2">
      <c r="C987" s="15"/>
      <c r="D987" s="15"/>
    </row>
    <row r="988" spans="3:4" x14ac:dyDescent="0.2">
      <c r="C988" s="15"/>
      <c r="D988" s="15"/>
    </row>
    <row r="989" spans="3:4" x14ac:dyDescent="0.2">
      <c r="C989" s="15"/>
      <c r="D989" s="15"/>
    </row>
    <row r="990" spans="3:4" x14ac:dyDescent="0.2">
      <c r="C990" s="15"/>
      <c r="D990" s="15"/>
    </row>
    <row r="991" spans="3:4" x14ac:dyDescent="0.2">
      <c r="C991" s="15"/>
      <c r="D991" s="15"/>
    </row>
    <row r="992" spans="3:4" x14ac:dyDescent="0.2">
      <c r="C992" s="15"/>
      <c r="D992" s="15"/>
    </row>
    <row r="993" spans="3:4" x14ac:dyDescent="0.2">
      <c r="C993" s="15"/>
      <c r="D993" s="15"/>
    </row>
    <row r="994" spans="3:4" x14ac:dyDescent="0.2">
      <c r="C994" s="15"/>
      <c r="D994" s="15"/>
    </row>
    <row r="995" spans="3:4" x14ac:dyDescent="0.2">
      <c r="C995" s="15"/>
      <c r="D995" s="15"/>
    </row>
    <row r="996" spans="3:4" x14ac:dyDescent="0.2">
      <c r="C996" s="15"/>
      <c r="D996" s="15"/>
    </row>
    <row r="997" spans="3:4" x14ac:dyDescent="0.2">
      <c r="C997" s="15"/>
      <c r="D997" s="15"/>
    </row>
    <row r="998" spans="3:4" x14ac:dyDescent="0.2">
      <c r="C998" s="15"/>
      <c r="D998" s="15"/>
    </row>
    <row r="999" spans="3:4" x14ac:dyDescent="0.2">
      <c r="C999" s="15"/>
      <c r="D999" s="15"/>
    </row>
    <row r="1000" spans="3:4" x14ac:dyDescent="0.2">
      <c r="C1000" s="15"/>
      <c r="D1000" s="15"/>
    </row>
    <row r="1001" spans="3:4" x14ac:dyDescent="0.2">
      <c r="C1001" s="15"/>
      <c r="D1001" s="15"/>
    </row>
    <row r="1002" spans="3:4" x14ac:dyDescent="0.2">
      <c r="C1002" s="15"/>
      <c r="D1002" s="15"/>
    </row>
    <row r="1003" spans="3:4" x14ac:dyDescent="0.2">
      <c r="C1003" s="15"/>
      <c r="D1003" s="15"/>
    </row>
    <row r="1004" spans="3:4" x14ac:dyDescent="0.2">
      <c r="C1004" s="15"/>
      <c r="D1004" s="15"/>
    </row>
    <row r="1005" spans="3:4" x14ac:dyDescent="0.2">
      <c r="C1005" s="15"/>
      <c r="D1005" s="15"/>
    </row>
    <row r="1006" spans="3:4" x14ac:dyDescent="0.2">
      <c r="C1006" s="15"/>
      <c r="D1006" s="15"/>
    </row>
    <row r="1007" spans="3:4" x14ac:dyDescent="0.2">
      <c r="C1007" s="15"/>
      <c r="D1007" s="15"/>
    </row>
    <row r="1008" spans="3:4" x14ac:dyDescent="0.2">
      <c r="C1008" s="15"/>
      <c r="D1008" s="15"/>
    </row>
    <row r="1009" spans="3:4" x14ac:dyDescent="0.2">
      <c r="C1009" s="15"/>
      <c r="D1009" s="15"/>
    </row>
    <row r="1010" spans="3:4" x14ac:dyDescent="0.2">
      <c r="C1010" s="15"/>
      <c r="D1010" s="15"/>
    </row>
    <row r="1011" spans="3:4" x14ac:dyDescent="0.2">
      <c r="C1011" s="15"/>
      <c r="D1011" s="15"/>
    </row>
    <row r="1012" spans="3:4" x14ac:dyDescent="0.2">
      <c r="C1012" s="15"/>
      <c r="D1012" s="15"/>
    </row>
    <row r="1013" spans="3:4" x14ac:dyDescent="0.2">
      <c r="C1013" s="15"/>
      <c r="D1013" s="15"/>
    </row>
    <row r="1014" spans="3:4" x14ac:dyDescent="0.2">
      <c r="C1014" s="15"/>
      <c r="D1014" s="15"/>
    </row>
    <row r="1015" spans="3:4" x14ac:dyDescent="0.2">
      <c r="C1015" s="15"/>
      <c r="D1015" s="15"/>
    </row>
    <row r="1016" spans="3:4" x14ac:dyDescent="0.2">
      <c r="C1016" s="15"/>
      <c r="D1016" s="15"/>
    </row>
    <row r="1017" spans="3:4" x14ac:dyDescent="0.2">
      <c r="C1017" s="15"/>
      <c r="D1017" s="15"/>
    </row>
    <row r="1018" spans="3:4" x14ac:dyDescent="0.2">
      <c r="C1018" s="15"/>
      <c r="D1018" s="15"/>
    </row>
    <row r="1019" spans="3:4" x14ac:dyDescent="0.2">
      <c r="C1019" s="15"/>
      <c r="D1019" s="15"/>
    </row>
    <row r="1020" spans="3:4" x14ac:dyDescent="0.2">
      <c r="C1020" s="15"/>
      <c r="D1020" s="15"/>
    </row>
    <row r="1021" spans="3:4" x14ac:dyDescent="0.2">
      <c r="C1021" s="15"/>
      <c r="D1021" s="15"/>
    </row>
    <row r="1022" spans="3:4" x14ac:dyDescent="0.2">
      <c r="C1022" s="15"/>
      <c r="D1022" s="15"/>
    </row>
    <row r="1023" spans="3:4" x14ac:dyDescent="0.2">
      <c r="C1023" s="15"/>
      <c r="D1023" s="15"/>
    </row>
    <row r="1024" spans="3:4" x14ac:dyDescent="0.2">
      <c r="C1024" s="15"/>
      <c r="D1024" s="15"/>
    </row>
    <row r="1025" spans="3:4" x14ac:dyDescent="0.2">
      <c r="C1025" s="15"/>
      <c r="D1025" s="15"/>
    </row>
    <row r="1026" spans="3:4" x14ac:dyDescent="0.2">
      <c r="C1026" s="15"/>
      <c r="D1026" s="15"/>
    </row>
    <row r="1027" spans="3:4" x14ac:dyDescent="0.2">
      <c r="C1027" s="15"/>
      <c r="D1027" s="15"/>
    </row>
    <row r="1028" spans="3:4" x14ac:dyDescent="0.2">
      <c r="C1028" s="15"/>
      <c r="D1028" s="15"/>
    </row>
    <row r="1029" spans="3:4" x14ac:dyDescent="0.2">
      <c r="C1029" s="15"/>
      <c r="D1029" s="15"/>
    </row>
    <row r="1030" spans="3:4" x14ac:dyDescent="0.2">
      <c r="C1030" s="15"/>
      <c r="D1030" s="15"/>
    </row>
    <row r="1031" spans="3:4" x14ac:dyDescent="0.2">
      <c r="C1031" s="15"/>
      <c r="D1031" s="15"/>
    </row>
    <row r="1032" spans="3:4" x14ac:dyDescent="0.2">
      <c r="C1032" s="15"/>
      <c r="D1032" s="15"/>
    </row>
    <row r="1033" spans="3:4" x14ac:dyDescent="0.2">
      <c r="C1033" s="15"/>
      <c r="D1033" s="15"/>
    </row>
    <row r="1034" spans="3:4" x14ac:dyDescent="0.2">
      <c r="C1034" s="15"/>
      <c r="D1034" s="15"/>
    </row>
    <row r="1035" spans="3:4" x14ac:dyDescent="0.2">
      <c r="C1035" s="15"/>
      <c r="D1035" s="15"/>
    </row>
    <row r="1036" spans="3:4" x14ac:dyDescent="0.2">
      <c r="C1036" s="15"/>
      <c r="D1036" s="15"/>
    </row>
    <row r="1037" spans="3:4" x14ac:dyDescent="0.2">
      <c r="C1037" s="15"/>
      <c r="D1037" s="15"/>
    </row>
    <row r="1038" spans="3:4" x14ac:dyDescent="0.2">
      <c r="C1038" s="15"/>
      <c r="D1038" s="15"/>
    </row>
    <row r="1039" spans="3:4" x14ac:dyDescent="0.2">
      <c r="C1039" s="15"/>
      <c r="D1039" s="15"/>
    </row>
    <row r="1040" spans="3:4" x14ac:dyDescent="0.2">
      <c r="C1040" s="15"/>
      <c r="D1040" s="15"/>
    </row>
    <row r="1041" spans="3:4" x14ac:dyDescent="0.2">
      <c r="C1041" s="15"/>
      <c r="D1041" s="15"/>
    </row>
    <row r="1042" spans="3:4" x14ac:dyDescent="0.2">
      <c r="C1042" s="15"/>
      <c r="D1042" s="15"/>
    </row>
    <row r="1043" spans="3:4" x14ac:dyDescent="0.2">
      <c r="C1043" s="15"/>
      <c r="D1043" s="15"/>
    </row>
    <row r="1044" spans="3:4" x14ac:dyDescent="0.2">
      <c r="C1044" s="15"/>
      <c r="D1044" s="15"/>
    </row>
    <row r="1045" spans="3:4" x14ac:dyDescent="0.2">
      <c r="C1045" s="15"/>
      <c r="D1045" s="15"/>
    </row>
    <row r="1046" spans="3:4" x14ac:dyDescent="0.2">
      <c r="C1046" s="15"/>
      <c r="D1046" s="15"/>
    </row>
    <row r="1047" spans="3:4" x14ac:dyDescent="0.2">
      <c r="C1047" s="15"/>
      <c r="D1047" s="15"/>
    </row>
    <row r="1048" spans="3:4" x14ac:dyDescent="0.2">
      <c r="C1048" s="15"/>
      <c r="D1048" s="15"/>
    </row>
    <row r="1049" spans="3:4" x14ac:dyDescent="0.2">
      <c r="C1049" s="15"/>
      <c r="D1049" s="15"/>
    </row>
    <row r="1050" spans="3:4" x14ac:dyDescent="0.2">
      <c r="C1050" s="15"/>
      <c r="D1050" s="15"/>
    </row>
    <row r="1051" spans="3:4" x14ac:dyDescent="0.2">
      <c r="C1051" s="15"/>
      <c r="D1051" s="15"/>
    </row>
    <row r="1052" spans="3:4" x14ac:dyDescent="0.2">
      <c r="C1052" s="15"/>
      <c r="D1052" s="15"/>
    </row>
    <row r="1053" spans="3:4" x14ac:dyDescent="0.2">
      <c r="C1053" s="15"/>
      <c r="D1053" s="15"/>
    </row>
    <row r="1054" spans="3:4" x14ac:dyDescent="0.2">
      <c r="C1054" s="15"/>
      <c r="D1054" s="15"/>
    </row>
    <row r="1055" spans="3:4" x14ac:dyDescent="0.2">
      <c r="C1055" s="15"/>
      <c r="D1055" s="15"/>
    </row>
    <row r="1056" spans="3:4" x14ac:dyDescent="0.2">
      <c r="C1056" s="15"/>
      <c r="D1056" s="15"/>
    </row>
    <row r="1057" spans="3:4" x14ac:dyDescent="0.2">
      <c r="C1057" s="15"/>
      <c r="D1057" s="15"/>
    </row>
    <row r="1058" spans="3:4" x14ac:dyDescent="0.2">
      <c r="C1058" s="15"/>
      <c r="D1058" s="15"/>
    </row>
    <row r="1059" spans="3:4" x14ac:dyDescent="0.2">
      <c r="C1059" s="15"/>
      <c r="D1059" s="15"/>
    </row>
    <row r="1060" spans="3:4" x14ac:dyDescent="0.2">
      <c r="C1060" s="15"/>
      <c r="D1060" s="15"/>
    </row>
    <row r="1061" spans="3:4" x14ac:dyDescent="0.2">
      <c r="C1061" s="15"/>
      <c r="D1061" s="15"/>
    </row>
    <row r="1062" spans="3:4" x14ac:dyDescent="0.2">
      <c r="C1062" s="15"/>
      <c r="D1062" s="15"/>
    </row>
    <row r="1063" spans="3:4" x14ac:dyDescent="0.2">
      <c r="C1063" s="15"/>
      <c r="D1063" s="15"/>
    </row>
    <row r="1064" spans="3:4" x14ac:dyDescent="0.2">
      <c r="C1064" s="15"/>
      <c r="D1064" s="15"/>
    </row>
    <row r="1065" spans="3:4" x14ac:dyDescent="0.2">
      <c r="C1065" s="15"/>
      <c r="D1065" s="15"/>
    </row>
    <row r="1066" spans="3:4" x14ac:dyDescent="0.2">
      <c r="C1066" s="15"/>
      <c r="D1066" s="15"/>
    </row>
    <row r="1067" spans="3:4" x14ac:dyDescent="0.2">
      <c r="C1067" s="15"/>
      <c r="D1067" s="15"/>
    </row>
    <row r="1068" spans="3:4" x14ac:dyDescent="0.2">
      <c r="C1068" s="15"/>
      <c r="D1068" s="15"/>
    </row>
    <row r="1069" spans="3:4" x14ac:dyDescent="0.2">
      <c r="C1069" s="15"/>
      <c r="D1069" s="15"/>
    </row>
    <row r="1070" spans="3:4" x14ac:dyDescent="0.2">
      <c r="C1070" s="15"/>
      <c r="D1070" s="15"/>
    </row>
    <row r="1071" spans="3:4" x14ac:dyDescent="0.2">
      <c r="C1071" s="15"/>
      <c r="D1071" s="15"/>
    </row>
    <row r="1072" spans="3:4" x14ac:dyDescent="0.2">
      <c r="C1072" s="15"/>
      <c r="D1072" s="15"/>
    </row>
    <row r="1073" spans="3:4" x14ac:dyDescent="0.2">
      <c r="C1073" s="15"/>
      <c r="D1073" s="15"/>
    </row>
    <row r="1074" spans="3:4" x14ac:dyDescent="0.2">
      <c r="C1074" s="15"/>
      <c r="D1074" s="15"/>
    </row>
    <row r="1075" spans="3:4" x14ac:dyDescent="0.2">
      <c r="C1075" s="15"/>
      <c r="D1075" s="15"/>
    </row>
    <row r="1076" spans="3:4" x14ac:dyDescent="0.2">
      <c r="C1076" s="15"/>
      <c r="D1076" s="15"/>
    </row>
    <row r="1077" spans="3:4" x14ac:dyDescent="0.2">
      <c r="C1077" s="15"/>
      <c r="D1077" s="15"/>
    </row>
    <row r="1078" spans="3:4" x14ac:dyDescent="0.2">
      <c r="C1078" s="15"/>
      <c r="D1078" s="15"/>
    </row>
    <row r="1079" spans="3:4" x14ac:dyDescent="0.2">
      <c r="C1079" s="15"/>
      <c r="D1079" s="15"/>
    </row>
    <row r="1080" spans="3:4" x14ac:dyDescent="0.2">
      <c r="C1080" s="15"/>
      <c r="D1080" s="15"/>
    </row>
    <row r="1081" spans="3:4" x14ac:dyDescent="0.2">
      <c r="C1081" s="15"/>
      <c r="D1081" s="15"/>
    </row>
    <row r="1082" spans="3:4" x14ac:dyDescent="0.2">
      <c r="C1082" s="15"/>
      <c r="D1082" s="15"/>
    </row>
    <row r="1083" spans="3:4" x14ac:dyDescent="0.2">
      <c r="C1083" s="15"/>
      <c r="D1083" s="15"/>
    </row>
    <row r="1084" spans="3:4" x14ac:dyDescent="0.2">
      <c r="C1084" s="15"/>
      <c r="D1084" s="15"/>
    </row>
    <row r="1085" spans="3:4" x14ac:dyDescent="0.2">
      <c r="C1085" s="15"/>
      <c r="D1085" s="15"/>
    </row>
    <row r="1086" spans="3:4" x14ac:dyDescent="0.2">
      <c r="C1086" s="15"/>
      <c r="D1086" s="15"/>
    </row>
    <row r="1087" spans="3:4" x14ac:dyDescent="0.2">
      <c r="C1087" s="15"/>
      <c r="D1087" s="15"/>
    </row>
    <row r="1088" spans="3:4" x14ac:dyDescent="0.2">
      <c r="C1088" s="15"/>
      <c r="D1088" s="15"/>
    </row>
    <row r="1089" spans="3:4" x14ac:dyDescent="0.2">
      <c r="C1089" s="15"/>
      <c r="D1089" s="15"/>
    </row>
    <row r="1090" spans="3:4" x14ac:dyDescent="0.2">
      <c r="C1090" s="15"/>
      <c r="D1090" s="15"/>
    </row>
    <row r="1091" spans="3:4" x14ac:dyDescent="0.2">
      <c r="C1091" s="15"/>
      <c r="D1091" s="15"/>
    </row>
    <row r="1092" spans="3:4" x14ac:dyDescent="0.2">
      <c r="C1092" s="15"/>
      <c r="D1092" s="15"/>
    </row>
    <row r="1093" spans="3:4" x14ac:dyDescent="0.2">
      <c r="C1093" s="15"/>
      <c r="D1093" s="15"/>
    </row>
    <row r="1094" spans="3:4" x14ac:dyDescent="0.2">
      <c r="C1094" s="15"/>
      <c r="D1094" s="15"/>
    </row>
    <row r="1095" spans="3:4" x14ac:dyDescent="0.2">
      <c r="C1095" s="15"/>
      <c r="D1095" s="15"/>
    </row>
    <row r="1096" spans="3:4" x14ac:dyDescent="0.2">
      <c r="C1096" s="15"/>
      <c r="D1096" s="15"/>
    </row>
    <row r="1097" spans="3:4" x14ac:dyDescent="0.2">
      <c r="C1097" s="15"/>
      <c r="D1097" s="15"/>
    </row>
    <row r="1098" spans="3:4" x14ac:dyDescent="0.2">
      <c r="C1098" s="15"/>
      <c r="D1098" s="15"/>
    </row>
    <row r="1099" spans="3:4" x14ac:dyDescent="0.2">
      <c r="C1099" s="15"/>
      <c r="D1099" s="15"/>
    </row>
    <row r="1100" spans="3:4" x14ac:dyDescent="0.2">
      <c r="C1100" s="15"/>
      <c r="D1100" s="15"/>
    </row>
    <row r="1101" spans="3:4" x14ac:dyDescent="0.2">
      <c r="C1101" s="15"/>
      <c r="D1101" s="15"/>
    </row>
    <row r="1102" spans="3:4" x14ac:dyDescent="0.2">
      <c r="C1102" s="15"/>
      <c r="D1102" s="15"/>
    </row>
    <row r="1103" spans="3:4" x14ac:dyDescent="0.2">
      <c r="C1103" s="15"/>
      <c r="D1103" s="15"/>
    </row>
    <row r="1104" spans="3:4" x14ac:dyDescent="0.2">
      <c r="C1104" s="15"/>
      <c r="D1104" s="15"/>
    </row>
    <row r="1105" spans="3:4" x14ac:dyDescent="0.2">
      <c r="C1105" s="15"/>
      <c r="D1105" s="15"/>
    </row>
    <row r="1106" spans="3:4" x14ac:dyDescent="0.2">
      <c r="C1106" s="15"/>
      <c r="D1106" s="15"/>
    </row>
    <row r="1107" spans="3:4" x14ac:dyDescent="0.2">
      <c r="C1107" s="15"/>
      <c r="D1107" s="15"/>
    </row>
    <row r="1108" spans="3:4" x14ac:dyDescent="0.2">
      <c r="C1108" s="15"/>
      <c r="D1108" s="15"/>
    </row>
    <row r="1109" spans="3:4" x14ac:dyDescent="0.2">
      <c r="C1109" s="15"/>
      <c r="D1109" s="15"/>
    </row>
    <row r="1110" spans="3:4" x14ac:dyDescent="0.2">
      <c r="C1110" s="15"/>
      <c r="D1110" s="15"/>
    </row>
    <row r="1111" spans="3:4" x14ac:dyDescent="0.2">
      <c r="C1111" s="15"/>
      <c r="D1111" s="15"/>
    </row>
    <row r="1112" spans="3:4" x14ac:dyDescent="0.2">
      <c r="C1112" s="15"/>
      <c r="D1112" s="15"/>
    </row>
    <row r="1113" spans="3:4" x14ac:dyDescent="0.2">
      <c r="C1113" s="15"/>
      <c r="D1113" s="15"/>
    </row>
    <row r="1114" spans="3:4" x14ac:dyDescent="0.2">
      <c r="C1114" s="15"/>
      <c r="D1114" s="15"/>
    </row>
    <row r="1115" spans="3:4" x14ac:dyDescent="0.2">
      <c r="C1115" s="15"/>
      <c r="D1115" s="15"/>
    </row>
    <row r="1116" spans="3:4" x14ac:dyDescent="0.2">
      <c r="C1116" s="15"/>
      <c r="D1116" s="15"/>
    </row>
    <row r="1117" spans="3:4" x14ac:dyDescent="0.2">
      <c r="C1117" s="15"/>
      <c r="D1117" s="15"/>
    </row>
    <row r="1118" spans="3:4" x14ac:dyDescent="0.2">
      <c r="C1118" s="15"/>
      <c r="D1118" s="15"/>
    </row>
    <row r="1119" spans="3:4" x14ac:dyDescent="0.2">
      <c r="C1119" s="15"/>
      <c r="D1119" s="15"/>
    </row>
    <row r="1120" spans="3:4" x14ac:dyDescent="0.2">
      <c r="C1120" s="15"/>
      <c r="D1120" s="15"/>
    </row>
    <row r="1121" spans="3:4" x14ac:dyDescent="0.2">
      <c r="C1121" s="15"/>
      <c r="D1121" s="15"/>
    </row>
    <row r="1122" spans="3:4" x14ac:dyDescent="0.2">
      <c r="C1122" s="15"/>
      <c r="D1122" s="15"/>
    </row>
    <row r="1123" spans="3:4" x14ac:dyDescent="0.2">
      <c r="C1123" s="15"/>
      <c r="D1123" s="15"/>
    </row>
    <row r="1124" spans="3:4" x14ac:dyDescent="0.2">
      <c r="C1124" s="15"/>
      <c r="D1124" s="15"/>
    </row>
    <row r="1125" spans="3:4" x14ac:dyDescent="0.2">
      <c r="C1125" s="15"/>
      <c r="D1125" s="15"/>
    </row>
    <row r="1126" spans="3:4" x14ac:dyDescent="0.2">
      <c r="C1126" s="15"/>
      <c r="D1126" s="15"/>
    </row>
    <row r="1127" spans="3:4" x14ac:dyDescent="0.2">
      <c r="C1127" s="15"/>
      <c r="D1127" s="15"/>
    </row>
    <row r="1128" spans="3:4" x14ac:dyDescent="0.2">
      <c r="C1128" s="15"/>
      <c r="D1128" s="15"/>
    </row>
    <row r="1129" spans="3:4" x14ac:dyDescent="0.2">
      <c r="C1129" s="15"/>
      <c r="D1129" s="15"/>
    </row>
    <row r="1130" spans="3:4" x14ac:dyDescent="0.2">
      <c r="C1130" s="15"/>
      <c r="D1130" s="15"/>
    </row>
    <row r="1131" spans="3:4" x14ac:dyDescent="0.2">
      <c r="C1131" s="15"/>
      <c r="D1131" s="15"/>
    </row>
    <row r="1132" spans="3:4" x14ac:dyDescent="0.2">
      <c r="C1132" s="15"/>
      <c r="D1132" s="15"/>
    </row>
    <row r="1133" spans="3:4" x14ac:dyDescent="0.2">
      <c r="C1133" s="15"/>
      <c r="D1133" s="15"/>
    </row>
    <row r="1134" spans="3:4" x14ac:dyDescent="0.2">
      <c r="C1134" s="15"/>
      <c r="D1134" s="15"/>
    </row>
    <row r="1135" spans="3:4" x14ac:dyDescent="0.2">
      <c r="C1135" s="15"/>
      <c r="D1135" s="15"/>
    </row>
    <row r="1136" spans="3:4" x14ac:dyDescent="0.2">
      <c r="C1136" s="15"/>
      <c r="D1136" s="15"/>
    </row>
    <row r="1137" spans="3:4" x14ac:dyDescent="0.2">
      <c r="C1137" s="15"/>
      <c r="D1137" s="15"/>
    </row>
    <row r="1138" spans="3:4" x14ac:dyDescent="0.2">
      <c r="C1138" s="15"/>
      <c r="D1138" s="15"/>
    </row>
    <row r="1139" spans="3:4" x14ac:dyDescent="0.2">
      <c r="C1139" s="15"/>
      <c r="D1139" s="15"/>
    </row>
    <row r="1140" spans="3:4" x14ac:dyDescent="0.2">
      <c r="C1140" s="15"/>
      <c r="D1140" s="15"/>
    </row>
    <row r="1141" spans="3:4" x14ac:dyDescent="0.2">
      <c r="C1141" s="15"/>
      <c r="D1141" s="15"/>
    </row>
    <row r="1142" spans="3:4" x14ac:dyDescent="0.2">
      <c r="C1142" s="15"/>
      <c r="D1142" s="15"/>
    </row>
    <row r="1143" spans="3:4" x14ac:dyDescent="0.2">
      <c r="C1143" s="15"/>
      <c r="D1143" s="15"/>
    </row>
    <row r="1144" spans="3:4" x14ac:dyDescent="0.2">
      <c r="C1144" s="15"/>
      <c r="D1144" s="15"/>
    </row>
    <row r="1145" spans="3:4" x14ac:dyDescent="0.2">
      <c r="C1145" s="15"/>
      <c r="D1145" s="15"/>
    </row>
    <row r="1146" spans="3:4" x14ac:dyDescent="0.2">
      <c r="C1146" s="15"/>
      <c r="D1146" s="15"/>
    </row>
    <row r="1147" spans="3:4" x14ac:dyDescent="0.2">
      <c r="C1147" s="15"/>
      <c r="D1147" s="15"/>
    </row>
    <row r="1148" spans="3:4" x14ac:dyDescent="0.2">
      <c r="C1148" s="15"/>
      <c r="D1148" s="15"/>
    </row>
    <row r="1149" spans="3:4" x14ac:dyDescent="0.2">
      <c r="C1149" s="15"/>
      <c r="D1149" s="15"/>
    </row>
    <row r="1150" spans="3:4" x14ac:dyDescent="0.2">
      <c r="C1150" s="15"/>
      <c r="D1150" s="15"/>
    </row>
    <row r="1151" spans="3:4" x14ac:dyDescent="0.2">
      <c r="C1151" s="15"/>
      <c r="D1151" s="15"/>
    </row>
    <row r="1152" spans="3:4" x14ac:dyDescent="0.2">
      <c r="C1152" s="15"/>
      <c r="D1152" s="15"/>
    </row>
    <row r="1153" spans="3:4" x14ac:dyDescent="0.2">
      <c r="C1153" s="15"/>
      <c r="D1153" s="15"/>
    </row>
    <row r="1154" spans="3:4" x14ac:dyDescent="0.2">
      <c r="C1154" s="15"/>
      <c r="D1154" s="15"/>
    </row>
    <row r="1155" spans="3:4" x14ac:dyDescent="0.2">
      <c r="C1155" s="15"/>
      <c r="D1155" s="15"/>
    </row>
    <row r="1156" spans="3:4" x14ac:dyDescent="0.2">
      <c r="C1156" s="15"/>
      <c r="D1156" s="15"/>
    </row>
    <row r="1157" spans="3:4" x14ac:dyDescent="0.2">
      <c r="C1157" s="15"/>
      <c r="D1157" s="15"/>
    </row>
    <row r="1158" spans="3:4" x14ac:dyDescent="0.2">
      <c r="C1158" s="15"/>
      <c r="D1158" s="15"/>
    </row>
    <row r="1159" spans="3:4" x14ac:dyDescent="0.2">
      <c r="C1159" s="15"/>
      <c r="D1159" s="15"/>
    </row>
    <row r="1160" spans="3:4" x14ac:dyDescent="0.2">
      <c r="C1160" s="15"/>
      <c r="D1160" s="15"/>
    </row>
    <row r="1161" spans="3:4" x14ac:dyDescent="0.2">
      <c r="C1161" s="15"/>
      <c r="D1161" s="15"/>
    </row>
    <row r="1162" spans="3:4" x14ac:dyDescent="0.2">
      <c r="C1162" s="15"/>
      <c r="D1162" s="15"/>
    </row>
    <row r="1163" spans="3:4" x14ac:dyDescent="0.2">
      <c r="C1163" s="15"/>
      <c r="D1163" s="15"/>
    </row>
    <row r="1164" spans="3:4" x14ac:dyDescent="0.2">
      <c r="C1164" s="15"/>
      <c r="D1164" s="15"/>
    </row>
    <row r="1165" spans="3:4" x14ac:dyDescent="0.2">
      <c r="C1165" s="15"/>
      <c r="D1165" s="15"/>
    </row>
    <row r="1166" spans="3:4" x14ac:dyDescent="0.2">
      <c r="C1166" s="15"/>
      <c r="D1166" s="15"/>
    </row>
    <row r="1167" spans="3:4" x14ac:dyDescent="0.2">
      <c r="C1167" s="15"/>
      <c r="D1167" s="15"/>
    </row>
    <row r="1168" spans="3:4" x14ac:dyDescent="0.2">
      <c r="C1168" s="15"/>
      <c r="D1168" s="15"/>
    </row>
    <row r="1169" spans="3:4" x14ac:dyDescent="0.2">
      <c r="C1169" s="15"/>
      <c r="D1169" s="15"/>
    </row>
    <row r="1170" spans="3:4" x14ac:dyDescent="0.2">
      <c r="C1170" s="15"/>
      <c r="D1170" s="15"/>
    </row>
    <row r="1171" spans="3:4" x14ac:dyDescent="0.2">
      <c r="C1171" s="15"/>
      <c r="D1171" s="15"/>
    </row>
    <row r="1172" spans="3:4" x14ac:dyDescent="0.2">
      <c r="C1172" s="15"/>
      <c r="D1172" s="15"/>
    </row>
    <row r="1173" spans="3:4" x14ac:dyDescent="0.2">
      <c r="C1173" s="15"/>
      <c r="D1173" s="15"/>
    </row>
    <row r="1174" spans="3:4" x14ac:dyDescent="0.2">
      <c r="C1174" s="15"/>
      <c r="D1174" s="15"/>
    </row>
    <row r="1175" spans="3:4" x14ac:dyDescent="0.2">
      <c r="C1175" s="15"/>
      <c r="D1175" s="15"/>
    </row>
    <row r="1176" spans="3:4" x14ac:dyDescent="0.2">
      <c r="C1176" s="15"/>
      <c r="D1176" s="15"/>
    </row>
    <row r="1177" spans="3:4" x14ac:dyDescent="0.2">
      <c r="C1177" s="15"/>
      <c r="D1177" s="15"/>
    </row>
    <row r="1178" spans="3:4" x14ac:dyDescent="0.2">
      <c r="C1178" s="15"/>
      <c r="D1178" s="15"/>
    </row>
    <row r="1179" spans="3:4" x14ac:dyDescent="0.2">
      <c r="C1179" s="15"/>
      <c r="D1179" s="15"/>
    </row>
    <row r="1180" spans="3:4" x14ac:dyDescent="0.2">
      <c r="C1180" s="15"/>
      <c r="D1180" s="15"/>
    </row>
    <row r="1181" spans="3:4" x14ac:dyDescent="0.2">
      <c r="C1181" s="15"/>
      <c r="D1181" s="15"/>
    </row>
    <row r="1182" spans="3:4" x14ac:dyDescent="0.2">
      <c r="C1182" s="15"/>
      <c r="D1182" s="15"/>
    </row>
    <row r="1183" spans="3:4" x14ac:dyDescent="0.2">
      <c r="C1183" s="15"/>
      <c r="D1183" s="15"/>
    </row>
    <row r="1184" spans="3:4" x14ac:dyDescent="0.2">
      <c r="C1184" s="15"/>
      <c r="D1184" s="15"/>
    </row>
    <row r="1185" spans="3:4" x14ac:dyDescent="0.2">
      <c r="C1185" s="15"/>
      <c r="D1185" s="15"/>
    </row>
    <row r="1186" spans="3:4" x14ac:dyDescent="0.2">
      <c r="C1186" s="15"/>
      <c r="D1186" s="15"/>
    </row>
    <row r="1187" spans="3:4" x14ac:dyDescent="0.2">
      <c r="C1187" s="15"/>
      <c r="D1187" s="15"/>
    </row>
    <row r="1188" spans="3:4" x14ac:dyDescent="0.2">
      <c r="C1188" s="15"/>
      <c r="D1188" s="15"/>
    </row>
    <row r="1189" spans="3:4" x14ac:dyDescent="0.2">
      <c r="C1189" s="15"/>
      <c r="D1189" s="15"/>
    </row>
    <row r="1190" spans="3:4" x14ac:dyDescent="0.2">
      <c r="C1190" s="15"/>
      <c r="D1190" s="15"/>
    </row>
    <row r="1191" spans="3:4" x14ac:dyDescent="0.2">
      <c r="C1191" s="15"/>
      <c r="D1191" s="15"/>
    </row>
    <row r="1192" spans="3:4" x14ac:dyDescent="0.2">
      <c r="C1192" s="15"/>
      <c r="D1192" s="15"/>
    </row>
    <row r="1193" spans="3:4" x14ac:dyDescent="0.2">
      <c r="C1193" s="15"/>
      <c r="D1193" s="15"/>
    </row>
    <row r="1194" spans="3:4" x14ac:dyDescent="0.2">
      <c r="C1194" s="15"/>
      <c r="D1194" s="15"/>
    </row>
    <row r="1195" spans="3:4" x14ac:dyDescent="0.2">
      <c r="C1195" s="15"/>
      <c r="D1195" s="15"/>
    </row>
    <row r="1196" spans="3:4" x14ac:dyDescent="0.2">
      <c r="C1196" s="15"/>
      <c r="D1196" s="15"/>
    </row>
    <row r="1197" spans="3:4" x14ac:dyDescent="0.2">
      <c r="C1197" s="15"/>
      <c r="D1197" s="15"/>
    </row>
    <row r="1198" spans="3:4" x14ac:dyDescent="0.2">
      <c r="C1198" s="15"/>
      <c r="D1198" s="15"/>
    </row>
    <row r="1199" spans="3:4" x14ac:dyDescent="0.2">
      <c r="C1199" s="15"/>
      <c r="D1199" s="15"/>
    </row>
    <row r="1200" spans="3:4" x14ac:dyDescent="0.2">
      <c r="C1200" s="15"/>
      <c r="D1200" s="15"/>
    </row>
    <row r="1201" spans="3:4" x14ac:dyDescent="0.2">
      <c r="C1201" s="15"/>
      <c r="D1201" s="15"/>
    </row>
    <row r="1202" spans="3:4" x14ac:dyDescent="0.2">
      <c r="C1202" s="15"/>
      <c r="D1202" s="15"/>
    </row>
    <row r="1203" spans="3:4" x14ac:dyDescent="0.2">
      <c r="C1203" s="15"/>
      <c r="D1203" s="15"/>
    </row>
    <row r="1204" spans="3:4" x14ac:dyDescent="0.2">
      <c r="C1204" s="15"/>
      <c r="D1204" s="15"/>
    </row>
    <row r="1205" spans="3:4" x14ac:dyDescent="0.2">
      <c r="C1205" s="15"/>
      <c r="D1205" s="15"/>
    </row>
    <row r="1206" spans="3:4" x14ac:dyDescent="0.2">
      <c r="C1206" s="15"/>
      <c r="D1206" s="15"/>
    </row>
    <row r="1207" spans="3:4" x14ac:dyDescent="0.2">
      <c r="C1207" s="15"/>
      <c r="D1207" s="15"/>
    </row>
    <row r="1208" spans="3:4" x14ac:dyDescent="0.2">
      <c r="C1208" s="15"/>
      <c r="D1208" s="15"/>
    </row>
    <row r="1209" spans="3:4" x14ac:dyDescent="0.2">
      <c r="C1209" s="15"/>
      <c r="D1209" s="15"/>
    </row>
    <row r="1210" spans="3:4" x14ac:dyDescent="0.2">
      <c r="C1210" s="15"/>
      <c r="D1210" s="15"/>
    </row>
    <row r="1211" spans="3:4" x14ac:dyDescent="0.2">
      <c r="C1211" s="15"/>
      <c r="D1211" s="15"/>
    </row>
    <row r="1212" spans="3:4" x14ac:dyDescent="0.2">
      <c r="C1212" s="15"/>
      <c r="D1212" s="15"/>
    </row>
    <row r="1213" spans="3:4" x14ac:dyDescent="0.2">
      <c r="C1213" s="15"/>
      <c r="D1213" s="15"/>
    </row>
    <row r="1214" spans="3:4" x14ac:dyDescent="0.2">
      <c r="C1214" s="15"/>
      <c r="D1214" s="15"/>
    </row>
    <row r="1215" spans="3:4" x14ac:dyDescent="0.2">
      <c r="C1215" s="15"/>
      <c r="D1215" s="15"/>
    </row>
    <row r="1216" spans="3:4" x14ac:dyDescent="0.2">
      <c r="C1216" s="15"/>
      <c r="D1216" s="15"/>
    </row>
    <row r="1217" spans="3:4" x14ac:dyDescent="0.2">
      <c r="C1217" s="15"/>
      <c r="D1217" s="15"/>
    </row>
    <row r="1218" spans="3:4" x14ac:dyDescent="0.2">
      <c r="C1218" s="15"/>
      <c r="D1218" s="15"/>
    </row>
    <row r="1219" spans="3:4" x14ac:dyDescent="0.2">
      <c r="C1219" s="15"/>
      <c r="D1219" s="15"/>
    </row>
    <row r="1220" spans="3:4" x14ac:dyDescent="0.2">
      <c r="C1220" s="15"/>
      <c r="D1220" s="15"/>
    </row>
    <row r="1221" spans="3:4" x14ac:dyDescent="0.2">
      <c r="C1221" s="15"/>
      <c r="D1221" s="15"/>
    </row>
    <row r="1222" spans="3:4" x14ac:dyDescent="0.2">
      <c r="C1222" s="15"/>
      <c r="D1222" s="15"/>
    </row>
    <row r="1223" spans="3:4" x14ac:dyDescent="0.2">
      <c r="C1223" s="15"/>
      <c r="D1223" s="15"/>
    </row>
    <row r="1224" spans="3:4" x14ac:dyDescent="0.2">
      <c r="C1224" s="15"/>
      <c r="D1224" s="15"/>
    </row>
    <row r="1225" spans="3:4" x14ac:dyDescent="0.2">
      <c r="C1225" s="15"/>
      <c r="D1225" s="15"/>
    </row>
    <row r="1226" spans="3:4" x14ac:dyDescent="0.2">
      <c r="C1226" s="15"/>
      <c r="D1226" s="15"/>
    </row>
    <row r="1227" spans="3:4" x14ac:dyDescent="0.2">
      <c r="C1227" s="15"/>
      <c r="D1227" s="15"/>
    </row>
    <row r="1228" spans="3:4" x14ac:dyDescent="0.2">
      <c r="C1228" s="15"/>
      <c r="D1228" s="15"/>
    </row>
    <row r="1229" spans="3:4" x14ac:dyDescent="0.2">
      <c r="C1229" s="15"/>
      <c r="D1229" s="15"/>
    </row>
    <row r="1230" spans="3:4" x14ac:dyDescent="0.2">
      <c r="C1230" s="15"/>
      <c r="D1230" s="15"/>
    </row>
    <row r="1231" spans="3:4" x14ac:dyDescent="0.2">
      <c r="C1231" s="15"/>
      <c r="D1231" s="15"/>
    </row>
    <row r="1232" spans="3:4" x14ac:dyDescent="0.2">
      <c r="C1232" s="15"/>
      <c r="D1232" s="15"/>
    </row>
    <row r="1233" spans="3:4" x14ac:dyDescent="0.2">
      <c r="C1233" s="15"/>
      <c r="D1233" s="15"/>
    </row>
    <row r="1234" spans="3:4" x14ac:dyDescent="0.2">
      <c r="C1234" s="15"/>
      <c r="D1234" s="15"/>
    </row>
    <row r="1235" spans="3:4" x14ac:dyDescent="0.2">
      <c r="C1235" s="15"/>
      <c r="D1235" s="15"/>
    </row>
    <row r="1236" spans="3:4" x14ac:dyDescent="0.2">
      <c r="C1236" s="15"/>
      <c r="D1236" s="15"/>
    </row>
    <row r="1237" spans="3:4" x14ac:dyDescent="0.2">
      <c r="C1237" s="15"/>
      <c r="D1237" s="15"/>
    </row>
    <row r="1238" spans="3:4" x14ac:dyDescent="0.2">
      <c r="C1238" s="15"/>
      <c r="D1238" s="15"/>
    </row>
    <row r="1239" spans="3:4" x14ac:dyDescent="0.2">
      <c r="C1239" s="15"/>
      <c r="D1239" s="15"/>
    </row>
    <row r="1240" spans="3:4" x14ac:dyDescent="0.2">
      <c r="C1240" s="15"/>
      <c r="D1240" s="15"/>
    </row>
    <row r="1241" spans="3:4" x14ac:dyDescent="0.2">
      <c r="C1241" s="15"/>
      <c r="D1241" s="15"/>
    </row>
    <row r="1242" spans="3:4" x14ac:dyDescent="0.2">
      <c r="C1242" s="15"/>
      <c r="D1242" s="15"/>
    </row>
    <row r="1243" spans="3:4" x14ac:dyDescent="0.2">
      <c r="C1243" s="15"/>
      <c r="D1243" s="15"/>
    </row>
    <row r="1244" spans="3:4" x14ac:dyDescent="0.2">
      <c r="C1244" s="15"/>
      <c r="D1244" s="15"/>
    </row>
    <row r="1245" spans="3:4" x14ac:dyDescent="0.2">
      <c r="C1245" s="15"/>
      <c r="D1245" s="15"/>
    </row>
    <row r="1246" spans="3:4" x14ac:dyDescent="0.2">
      <c r="C1246" s="15"/>
      <c r="D1246" s="15"/>
    </row>
    <row r="1247" spans="3:4" x14ac:dyDescent="0.2">
      <c r="C1247" s="15"/>
      <c r="D1247" s="15"/>
    </row>
    <row r="1248" spans="3:4" x14ac:dyDescent="0.2">
      <c r="C1248" s="15"/>
      <c r="D1248" s="15"/>
    </row>
    <row r="1249" spans="3:4" x14ac:dyDescent="0.2">
      <c r="C1249" s="15"/>
      <c r="D1249" s="15"/>
    </row>
    <row r="1250" spans="3:4" x14ac:dyDescent="0.2">
      <c r="C1250" s="15"/>
      <c r="D1250" s="15"/>
    </row>
    <row r="1251" spans="3:4" x14ac:dyDescent="0.2">
      <c r="C1251" s="15"/>
      <c r="D1251" s="15"/>
    </row>
    <row r="1252" spans="3:4" x14ac:dyDescent="0.2">
      <c r="C1252" s="15"/>
      <c r="D1252" s="15"/>
    </row>
    <row r="1253" spans="3:4" x14ac:dyDescent="0.2">
      <c r="C1253" s="15"/>
      <c r="D1253" s="15"/>
    </row>
    <row r="1254" spans="3:4" x14ac:dyDescent="0.2">
      <c r="C1254" s="15"/>
      <c r="D1254" s="15"/>
    </row>
    <row r="1255" spans="3:4" x14ac:dyDescent="0.2">
      <c r="C1255" s="15"/>
      <c r="D1255" s="15"/>
    </row>
    <row r="1256" spans="3:4" x14ac:dyDescent="0.2">
      <c r="C1256" s="15"/>
      <c r="D1256" s="15"/>
    </row>
    <row r="1257" spans="3:4" x14ac:dyDescent="0.2">
      <c r="C1257" s="15"/>
      <c r="D1257" s="15"/>
    </row>
    <row r="1258" spans="3:4" x14ac:dyDescent="0.2">
      <c r="C1258" s="15"/>
      <c r="D1258" s="15"/>
    </row>
    <row r="1259" spans="3:4" x14ac:dyDescent="0.2">
      <c r="C1259" s="15"/>
      <c r="D1259" s="15"/>
    </row>
    <row r="1260" spans="3:4" x14ac:dyDescent="0.2">
      <c r="C1260" s="15"/>
      <c r="D1260" s="15"/>
    </row>
    <row r="1261" spans="3:4" x14ac:dyDescent="0.2">
      <c r="C1261" s="15"/>
      <c r="D1261" s="15"/>
    </row>
    <row r="1262" spans="3:4" x14ac:dyDescent="0.2">
      <c r="C1262" s="15"/>
      <c r="D1262" s="15"/>
    </row>
    <row r="1263" spans="3:4" x14ac:dyDescent="0.2">
      <c r="C1263" s="15"/>
      <c r="D1263" s="15"/>
    </row>
    <row r="1264" spans="3:4" x14ac:dyDescent="0.2">
      <c r="C1264" s="15"/>
      <c r="D1264" s="15"/>
    </row>
    <row r="1265" spans="3:4" x14ac:dyDescent="0.2">
      <c r="C1265" s="15"/>
      <c r="D1265" s="15"/>
    </row>
    <row r="1266" spans="3:4" x14ac:dyDescent="0.2">
      <c r="C1266" s="15"/>
      <c r="D1266" s="15"/>
    </row>
    <row r="1267" spans="3:4" x14ac:dyDescent="0.2">
      <c r="C1267" s="15"/>
      <c r="D1267" s="15"/>
    </row>
    <row r="1268" spans="3:4" x14ac:dyDescent="0.2">
      <c r="C1268" s="15"/>
      <c r="D1268" s="15"/>
    </row>
    <row r="1269" spans="3:4" x14ac:dyDescent="0.2">
      <c r="C1269" s="15"/>
      <c r="D1269" s="15"/>
    </row>
    <row r="1270" spans="3:4" x14ac:dyDescent="0.2">
      <c r="C1270" s="15"/>
      <c r="D1270" s="15"/>
    </row>
    <row r="1271" spans="3:4" x14ac:dyDescent="0.2">
      <c r="C1271" s="15"/>
      <c r="D1271" s="15"/>
    </row>
    <row r="1272" spans="3:4" x14ac:dyDescent="0.2">
      <c r="C1272" s="15"/>
      <c r="D1272" s="15"/>
    </row>
    <row r="1273" spans="3:4" x14ac:dyDescent="0.2">
      <c r="C1273" s="15"/>
      <c r="D1273" s="15"/>
    </row>
    <row r="1274" spans="3:4" x14ac:dyDescent="0.2">
      <c r="C1274" s="15"/>
      <c r="D1274" s="15"/>
    </row>
    <row r="1275" spans="3:4" x14ac:dyDescent="0.2">
      <c r="C1275" s="15"/>
      <c r="D1275" s="15"/>
    </row>
    <row r="1276" spans="3:4" x14ac:dyDescent="0.2">
      <c r="C1276" s="15"/>
      <c r="D1276" s="15"/>
    </row>
    <row r="1277" spans="3:4" x14ac:dyDescent="0.2">
      <c r="C1277" s="15"/>
      <c r="D1277" s="15"/>
    </row>
    <row r="1278" spans="3:4" x14ac:dyDescent="0.2">
      <c r="C1278" s="15"/>
      <c r="D1278" s="15"/>
    </row>
    <row r="1279" spans="3:4" x14ac:dyDescent="0.2">
      <c r="C1279" s="15"/>
      <c r="D1279" s="15"/>
    </row>
    <row r="1280" spans="3:4" x14ac:dyDescent="0.2">
      <c r="C1280" s="15"/>
      <c r="D1280" s="15"/>
    </row>
    <row r="1281" spans="3:4" x14ac:dyDescent="0.2">
      <c r="C1281" s="15"/>
      <c r="D1281" s="15"/>
    </row>
    <row r="1282" spans="3:4" x14ac:dyDescent="0.2">
      <c r="C1282" s="15"/>
      <c r="D1282" s="15"/>
    </row>
    <row r="1283" spans="3:4" x14ac:dyDescent="0.2">
      <c r="C1283" s="15"/>
      <c r="D1283" s="15"/>
    </row>
    <row r="1284" spans="3:4" x14ac:dyDescent="0.2">
      <c r="C1284" s="15"/>
      <c r="D1284" s="15"/>
    </row>
    <row r="1285" spans="3:4" x14ac:dyDescent="0.2">
      <c r="C1285" s="15"/>
      <c r="D1285" s="15"/>
    </row>
    <row r="1286" spans="3:4" x14ac:dyDescent="0.2">
      <c r="C1286" s="15"/>
      <c r="D1286" s="15"/>
    </row>
    <row r="1287" spans="3:4" x14ac:dyDescent="0.2">
      <c r="C1287" s="15"/>
      <c r="D1287" s="15"/>
    </row>
    <row r="1288" spans="3:4" x14ac:dyDescent="0.2">
      <c r="C1288" s="15"/>
      <c r="D1288" s="15"/>
    </row>
    <row r="1289" spans="3:4" x14ac:dyDescent="0.2">
      <c r="C1289" s="15"/>
      <c r="D1289" s="15"/>
    </row>
    <row r="1290" spans="3:4" x14ac:dyDescent="0.2">
      <c r="C1290" s="15"/>
      <c r="D1290" s="15"/>
    </row>
    <row r="1291" spans="3:4" x14ac:dyDescent="0.2">
      <c r="C1291" s="15"/>
      <c r="D1291" s="15"/>
    </row>
    <row r="1292" spans="3:4" x14ac:dyDescent="0.2">
      <c r="C1292" s="15"/>
      <c r="D1292" s="15"/>
    </row>
    <row r="1293" spans="3:4" x14ac:dyDescent="0.2">
      <c r="C1293" s="15"/>
      <c r="D1293" s="15"/>
    </row>
    <row r="1294" spans="3:4" x14ac:dyDescent="0.2">
      <c r="C1294" s="15"/>
      <c r="D1294" s="15"/>
    </row>
    <row r="1295" spans="3:4" x14ac:dyDescent="0.2">
      <c r="C1295" s="15"/>
      <c r="D1295" s="15"/>
    </row>
    <row r="1296" spans="3:4" x14ac:dyDescent="0.2">
      <c r="C1296" s="15"/>
      <c r="D1296" s="15"/>
    </row>
    <row r="1297" spans="3:4" x14ac:dyDescent="0.2">
      <c r="C1297" s="15"/>
      <c r="D1297" s="15"/>
    </row>
    <row r="1298" spans="3:4" x14ac:dyDescent="0.2">
      <c r="C1298" s="15"/>
      <c r="D1298" s="15"/>
    </row>
    <row r="1299" spans="3:4" x14ac:dyDescent="0.2">
      <c r="C1299" s="15"/>
      <c r="D1299" s="15"/>
    </row>
    <row r="1300" spans="3:4" x14ac:dyDescent="0.2">
      <c r="C1300" s="15"/>
      <c r="D1300" s="15"/>
    </row>
    <row r="1301" spans="3:4" x14ac:dyDescent="0.2">
      <c r="C1301" s="15"/>
      <c r="D1301" s="15"/>
    </row>
    <row r="1302" spans="3:4" x14ac:dyDescent="0.2">
      <c r="C1302" s="15"/>
      <c r="D1302" s="15"/>
    </row>
    <row r="1303" spans="3:4" x14ac:dyDescent="0.2">
      <c r="C1303" s="15"/>
      <c r="D1303" s="15"/>
    </row>
    <row r="1304" spans="3:4" x14ac:dyDescent="0.2">
      <c r="C1304" s="15"/>
      <c r="D1304" s="15"/>
    </row>
    <row r="1305" spans="3:4" x14ac:dyDescent="0.2">
      <c r="C1305" s="15"/>
      <c r="D1305" s="15"/>
    </row>
    <row r="1306" spans="3:4" x14ac:dyDescent="0.2">
      <c r="C1306" s="15"/>
      <c r="D1306" s="15"/>
    </row>
    <row r="1307" spans="3:4" x14ac:dyDescent="0.2">
      <c r="C1307" s="15"/>
      <c r="D1307" s="15"/>
    </row>
    <row r="1308" spans="3:4" x14ac:dyDescent="0.2">
      <c r="C1308" s="15"/>
      <c r="D1308" s="15"/>
    </row>
    <row r="1309" spans="3:4" x14ac:dyDescent="0.2">
      <c r="C1309" s="15"/>
      <c r="D1309" s="15"/>
    </row>
    <row r="1310" spans="3:4" x14ac:dyDescent="0.2">
      <c r="C1310" s="15"/>
      <c r="D1310" s="15"/>
    </row>
    <row r="1311" spans="3:4" x14ac:dyDescent="0.2">
      <c r="C1311" s="15"/>
      <c r="D1311" s="15"/>
    </row>
    <row r="1312" spans="3:4" x14ac:dyDescent="0.2">
      <c r="C1312" s="15"/>
      <c r="D1312" s="15"/>
    </row>
    <row r="1313" spans="3:4" x14ac:dyDescent="0.2">
      <c r="C1313" s="15"/>
      <c r="D1313" s="15"/>
    </row>
    <row r="1314" spans="3:4" x14ac:dyDescent="0.2">
      <c r="C1314" s="15"/>
      <c r="D1314" s="15"/>
    </row>
    <row r="1315" spans="3:4" x14ac:dyDescent="0.2">
      <c r="C1315" s="15"/>
      <c r="D1315" s="15"/>
    </row>
    <row r="1316" spans="3:4" x14ac:dyDescent="0.2">
      <c r="C1316" s="15"/>
      <c r="D1316" s="15"/>
    </row>
    <row r="1317" spans="3:4" x14ac:dyDescent="0.2">
      <c r="C1317" s="15"/>
      <c r="D1317" s="15"/>
    </row>
    <row r="1318" spans="3:4" x14ac:dyDescent="0.2">
      <c r="C1318" s="15"/>
      <c r="D1318" s="15"/>
    </row>
    <row r="1319" spans="3:4" x14ac:dyDescent="0.2">
      <c r="C1319" s="15"/>
      <c r="D1319" s="15"/>
    </row>
    <row r="1320" spans="3:4" x14ac:dyDescent="0.2">
      <c r="C1320" s="15"/>
      <c r="D1320" s="15"/>
    </row>
    <row r="1321" spans="3:4" x14ac:dyDescent="0.2">
      <c r="C1321" s="15"/>
      <c r="D1321" s="15"/>
    </row>
    <row r="1322" spans="3:4" x14ac:dyDescent="0.2">
      <c r="C1322" s="15"/>
      <c r="D1322" s="15"/>
    </row>
    <row r="1323" spans="3:4" x14ac:dyDescent="0.2">
      <c r="C1323" s="15"/>
      <c r="D1323" s="15"/>
    </row>
    <row r="1324" spans="3:4" x14ac:dyDescent="0.2">
      <c r="C1324" s="15"/>
      <c r="D1324" s="15"/>
    </row>
    <row r="1325" spans="3:4" x14ac:dyDescent="0.2">
      <c r="C1325" s="15"/>
      <c r="D1325" s="15"/>
    </row>
    <row r="1326" spans="3:4" x14ac:dyDescent="0.2">
      <c r="C1326" s="15"/>
      <c r="D1326" s="15"/>
    </row>
    <row r="1327" spans="3:4" x14ac:dyDescent="0.2">
      <c r="C1327" s="15"/>
      <c r="D1327" s="15"/>
    </row>
    <row r="1328" spans="3:4" x14ac:dyDescent="0.2">
      <c r="C1328" s="15"/>
      <c r="D1328" s="15"/>
    </row>
    <row r="1329" spans="3:4" x14ac:dyDescent="0.2">
      <c r="C1329" s="15"/>
      <c r="D1329" s="15"/>
    </row>
    <row r="1330" spans="3:4" x14ac:dyDescent="0.2">
      <c r="C1330" s="15"/>
      <c r="D1330" s="15"/>
    </row>
    <row r="1331" spans="3:4" x14ac:dyDescent="0.2">
      <c r="C1331" s="15"/>
      <c r="D1331" s="15"/>
    </row>
    <row r="1332" spans="3:4" x14ac:dyDescent="0.2">
      <c r="C1332" s="15"/>
      <c r="D1332" s="15"/>
    </row>
    <row r="1333" spans="3:4" x14ac:dyDescent="0.2">
      <c r="C1333" s="15"/>
      <c r="D1333" s="15"/>
    </row>
    <row r="1334" spans="3:4" x14ac:dyDescent="0.2">
      <c r="C1334" s="15"/>
      <c r="D1334" s="15"/>
    </row>
    <row r="1335" spans="3:4" x14ac:dyDescent="0.2">
      <c r="C1335" s="15"/>
      <c r="D1335" s="15"/>
    </row>
    <row r="1336" spans="3:4" x14ac:dyDescent="0.2">
      <c r="C1336" s="15"/>
      <c r="D1336" s="15"/>
    </row>
    <row r="1337" spans="3:4" x14ac:dyDescent="0.2">
      <c r="C1337" s="15"/>
      <c r="D1337" s="15"/>
    </row>
    <row r="1338" spans="3:4" x14ac:dyDescent="0.2">
      <c r="C1338" s="15"/>
      <c r="D1338" s="15"/>
    </row>
    <row r="1339" spans="3:4" x14ac:dyDescent="0.2">
      <c r="C1339" s="15"/>
      <c r="D1339" s="15"/>
    </row>
    <row r="1340" spans="3:4" x14ac:dyDescent="0.2">
      <c r="C1340" s="15"/>
      <c r="D1340" s="15"/>
    </row>
    <row r="1341" spans="3:4" x14ac:dyDescent="0.2">
      <c r="C1341" s="15"/>
      <c r="D1341" s="15"/>
    </row>
    <row r="1342" spans="3:4" x14ac:dyDescent="0.2">
      <c r="C1342" s="15"/>
      <c r="D1342" s="15"/>
    </row>
    <row r="1343" spans="3:4" x14ac:dyDescent="0.2">
      <c r="C1343" s="15"/>
      <c r="D1343" s="15"/>
    </row>
    <row r="1344" spans="3:4" x14ac:dyDescent="0.2">
      <c r="C1344" s="15"/>
      <c r="D1344" s="15"/>
    </row>
    <row r="1345" spans="3:4" x14ac:dyDescent="0.2">
      <c r="C1345" s="15"/>
      <c r="D1345" s="15"/>
    </row>
    <row r="1346" spans="3:4" x14ac:dyDescent="0.2">
      <c r="C1346" s="15"/>
      <c r="D1346" s="15"/>
    </row>
    <row r="1347" spans="3:4" x14ac:dyDescent="0.2">
      <c r="C1347" s="15"/>
      <c r="D1347" s="15"/>
    </row>
    <row r="1348" spans="3:4" x14ac:dyDescent="0.2">
      <c r="C1348" s="15"/>
      <c r="D1348" s="15"/>
    </row>
    <row r="1349" spans="3:4" x14ac:dyDescent="0.2">
      <c r="C1349" s="15"/>
      <c r="D1349" s="15"/>
    </row>
    <row r="1350" spans="3:4" x14ac:dyDescent="0.2">
      <c r="C1350" s="15"/>
      <c r="D1350" s="15"/>
    </row>
    <row r="1351" spans="3:4" x14ac:dyDescent="0.2">
      <c r="C1351" s="15"/>
      <c r="D1351" s="15"/>
    </row>
    <row r="1352" spans="3:4" x14ac:dyDescent="0.2">
      <c r="C1352" s="15"/>
      <c r="D1352" s="15"/>
    </row>
    <row r="1353" spans="3:4" x14ac:dyDescent="0.2">
      <c r="C1353" s="15"/>
      <c r="D1353" s="15"/>
    </row>
    <row r="1354" spans="3:4" x14ac:dyDescent="0.2">
      <c r="C1354" s="15"/>
      <c r="D1354" s="15"/>
    </row>
    <row r="1355" spans="3:4" x14ac:dyDescent="0.2">
      <c r="C1355" s="15"/>
      <c r="D1355" s="15"/>
    </row>
    <row r="1356" spans="3:4" x14ac:dyDescent="0.2">
      <c r="C1356" s="15"/>
      <c r="D1356" s="15"/>
    </row>
    <row r="1357" spans="3:4" x14ac:dyDescent="0.2">
      <c r="C1357" s="15"/>
      <c r="D1357" s="15"/>
    </row>
    <row r="1358" spans="3:4" x14ac:dyDescent="0.2">
      <c r="C1358" s="15"/>
      <c r="D1358" s="15"/>
    </row>
    <row r="1359" spans="3:4" x14ac:dyDescent="0.2">
      <c r="C1359" s="15"/>
      <c r="D1359" s="15"/>
    </row>
    <row r="1360" spans="3:4" x14ac:dyDescent="0.2">
      <c r="C1360" s="15"/>
      <c r="D1360" s="15"/>
    </row>
    <row r="1361" spans="3:4" x14ac:dyDescent="0.2">
      <c r="C1361" s="15"/>
      <c r="D1361" s="15"/>
    </row>
    <row r="1362" spans="3:4" x14ac:dyDescent="0.2">
      <c r="C1362" s="15"/>
      <c r="D1362" s="15"/>
    </row>
    <row r="1363" spans="3:4" x14ac:dyDescent="0.2">
      <c r="C1363" s="15"/>
      <c r="D1363" s="15"/>
    </row>
    <row r="1364" spans="3:4" x14ac:dyDescent="0.2">
      <c r="C1364" s="15"/>
      <c r="D1364" s="15"/>
    </row>
    <row r="1365" spans="3:4" x14ac:dyDescent="0.2">
      <c r="C1365" s="15"/>
      <c r="D1365" s="15"/>
    </row>
    <row r="1366" spans="3:4" x14ac:dyDescent="0.2">
      <c r="C1366" s="15"/>
      <c r="D1366" s="15"/>
    </row>
    <row r="1367" spans="3:4" x14ac:dyDescent="0.2">
      <c r="C1367" s="15"/>
      <c r="D1367" s="15"/>
    </row>
    <row r="1368" spans="3:4" x14ac:dyDescent="0.2">
      <c r="C1368" s="15"/>
      <c r="D1368" s="15"/>
    </row>
    <row r="1369" spans="3:4" x14ac:dyDescent="0.2">
      <c r="C1369" s="15"/>
      <c r="D1369" s="15"/>
    </row>
    <row r="1370" spans="3:4" x14ac:dyDescent="0.2">
      <c r="C1370" s="15"/>
      <c r="D1370" s="15"/>
    </row>
    <row r="1371" spans="3:4" x14ac:dyDescent="0.2">
      <c r="C1371" s="15"/>
      <c r="D1371" s="15"/>
    </row>
    <row r="1372" spans="3:4" x14ac:dyDescent="0.2">
      <c r="C1372" s="15"/>
      <c r="D1372" s="15"/>
    </row>
    <row r="1373" spans="3:4" x14ac:dyDescent="0.2">
      <c r="C1373" s="15"/>
      <c r="D1373" s="15"/>
    </row>
    <row r="1374" spans="3:4" x14ac:dyDescent="0.2">
      <c r="C1374" s="15"/>
      <c r="D1374" s="15"/>
    </row>
    <row r="1375" spans="3:4" x14ac:dyDescent="0.2">
      <c r="C1375" s="15"/>
      <c r="D1375" s="15"/>
    </row>
    <row r="1376" spans="3:4" x14ac:dyDescent="0.2">
      <c r="C1376" s="15"/>
      <c r="D1376" s="15"/>
    </row>
    <row r="1377" spans="3:4" x14ac:dyDescent="0.2">
      <c r="C1377" s="15"/>
      <c r="D1377" s="15"/>
    </row>
  </sheetData>
  <mergeCells count="44">
    <mergeCell ref="A1:H1"/>
    <mergeCell ref="F2:H2"/>
    <mergeCell ref="A122:G122"/>
    <mergeCell ref="G3:H3"/>
    <mergeCell ref="C147:F147"/>
    <mergeCell ref="C3:F4"/>
    <mergeCell ref="A2:E2"/>
    <mergeCell ref="D130:E130"/>
    <mergeCell ref="D131:E131"/>
    <mergeCell ref="D132:E132"/>
    <mergeCell ref="D133:E133"/>
    <mergeCell ref="A6:B6"/>
    <mergeCell ref="G6:G7"/>
    <mergeCell ref="H6:H7"/>
    <mergeCell ref="F6:F7"/>
    <mergeCell ref="E6:E7"/>
    <mergeCell ref="D6:D7"/>
    <mergeCell ref="C6:C7"/>
    <mergeCell ref="A67:B67"/>
    <mergeCell ref="A26:B26"/>
    <mergeCell ref="A28:B28"/>
    <mergeCell ref="A34:B34"/>
    <mergeCell ref="A36:B36"/>
    <mergeCell ref="A37:B37"/>
    <mergeCell ref="A40:B40"/>
    <mergeCell ref="A74:B74"/>
    <mergeCell ref="A77:B77"/>
    <mergeCell ref="A81:B81"/>
    <mergeCell ref="A82:B82"/>
    <mergeCell ref="A88:B88"/>
    <mergeCell ref="A46:B46"/>
    <mergeCell ref="A53:B53"/>
    <mergeCell ref="A64:B64"/>
    <mergeCell ref="A65:B65"/>
    <mergeCell ref="A66:B66"/>
    <mergeCell ref="A118:B118"/>
    <mergeCell ref="A119:B119"/>
    <mergeCell ref="A120:B120"/>
    <mergeCell ref="A94:B94"/>
    <mergeCell ref="A95:B95"/>
    <mergeCell ref="A99:B99"/>
    <mergeCell ref="A103:B103"/>
    <mergeCell ref="A104:B104"/>
    <mergeCell ref="A105:B105"/>
  </mergeCells>
  <phoneticPr fontId="0" type="noConversion"/>
  <printOptions horizontalCentered="1" verticalCentered="1"/>
  <pageMargins left="0.67" right="0.19685039370078741" top="0" bottom="0.35433070866141736" header="0.94488188976377963" footer="0.31496062992125984"/>
  <pageSetup paperSize="9" scale="80" orientation="portrait" r:id="rId1"/>
  <headerFooter alignWithMargins="0"/>
  <rowBreaks count="2" manualBreakCount="2">
    <brk id="60" max="7" man="1"/>
    <brk id="103" max="7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view="pageBreakPreview" topLeftCell="A10" zoomScaleNormal="87" zoomScaleSheetLayoutView="100" workbookViewId="0">
      <selection activeCell="F25" sqref="F25"/>
    </sheetView>
  </sheetViews>
  <sheetFormatPr defaultRowHeight="12.75" x14ac:dyDescent="0.2"/>
  <cols>
    <col min="1" max="1" width="12.5703125" style="143" customWidth="1"/>
    <col min="2" max="2" width="47.140625" style="143" customWidth="1"/>
    <col min="3" max="3" width="7.28515625" style="143" customWidth="1"/>
    <col min="4" max="16384" width="9.140625" style="143"/>
  </cols>
  <sheetData>
    <row r="1" spans="1:8" ht="18.75" x14ac:dyDescent="0.2">
      <c r="A1" s="447" t="s">
        <v>64</v>
      </c>
      <c r="B1" s="447"/>
      <c r="C1" s="447"/>
      <c r="D1" s="447"/>
      <c r="E1" s="447"/>
      <c r="F1" s="447"/>
    </row>
    <row r="2" spans="1:8" ht="15" x14ac:dyDescent="0.25">
      <c r="A2" s="260"/>
      <c r="B2" s="145"/>
      <c r="C2" s="144"/>
      <c r="D2" s="144"/>
      <c r="E2" s="144"/>
      <c r="F2" s="144"/>
    </row>
    <row r="3" spans="1:8" ht="15" x14ac:dyDescent="0.2">
      <c r="A3" s="176" t="s">
        <v>548</v>
      </c>
      <c r="B3" s="448" t="s">
        <v>64</v>
      </c>
      <c r="C3" s="448"/>
      <c r="D3" s="448"/>
      <c r="E3" s="448"/>
      <c r="F3" s="448"/>
    </row>
    <row r="4" spans="1:8" ht="15" x14ac:dyDescent="0.25">
      <c r="A4" s="144"/>
      <c r="B4" s="145"/>
      <c r="C4" s="144"/>
      <c r="D4" s="144"/>
      <c r="E4" s="144"/>
      <c r="F4" s="144"/>
    </row>
    <row r="5" spans="1:8" ht="14.25" x14ac:dyDescent="0.2">
      <c r="A5" s="147" t="s">
        <v>306</v>
      </c>
      <c r="B5" s="148" t="s">
        <v>307</v>
      </c>
      <c r="C5" s="148" t="s">
        <v>308</v>
      </c>
      <c r="D5" s="148" t="s">
        <v>309</v>
      </c>
      <c r="E5" s="148" t="s">
        <v>310</v>
      </c>
      <c r="F5" s="148" t="s">
        <v>311</v>
      </c>
    </row>
    <row r="6" spans="1:8" ht="15" x14ac:dyDescent="0.25">
      <c r="A6" s="151" t="s">
        <v>158</v>
      </c>
      <c r="B6" s="261" t="s">
        <v>549</v>
      </c>
      <c r="C6" s="262" t="s">
        <v>27</v>
      </c>
      <c r="D6" s="263">
        <v>1</v>
      </c>
      <c r="E6" s="213">
        <v>5.86</v>
      </c>
      <c r="F6" s="215">
        <f>ROUND(D6*E6,2)</f>
        <v>5.86</v>
      </c>
    </row>
    <row r="7" spans="1:8" ht="30" x14ac:dyDescent="0.2">
      <c r="A7" s="219" t="s">
        <v>550</v>
      </c>
      <c r="B7" s="221" t="s">
        <v>551</v>
      </c>
      <c r="C7" s="264" t="s">
        <v>27</v>
      </c>
      <c r="D7" s="265">
        <v>15</v>
      </c>
      <c r="E7" s="213">
        <f>ROUND(2.55*1.2619,2)</f>
        <v>3.22</v>
      </c>
      <c r="F7" s="215">
        <f t="shared" ref="F7:F23" si="0">ROUND(D7*E7,2)</f>
        <v>48.3</v>
      </c>
      <c r="H7" s="174"/>
    </row>
    <row r="8" spans="1:8" ht="30" x14ac:dyDescent="0.2">
      <c r="A8" s="219" t="s">
        <v>552</v>
      </c>
      <c r="B8" s="221" t="s">
        <v>553</v>
      </c>
      <c r="C8" s="264" t="s">
        <v>27</v>
      </c>
      <c r="D8" s="265">
        <v>4</v>
      </c>
      <c r="E8" s="213">
        <f>ROUND(7.52*1.2619,2)</f>
        <v>9.49</v>
      </c>
      <c r="F8" s="215">
        <f t="shared" si="0"/>
        <v>37.96</v>
      </c>
      <c r="H8" s="174"/>
    </row>
    <row r="9" spans="1:8" ht="30" x14ac:dyDescent="0.2">
      <c r="A9" s="219" t="s">
        <v>554</v>
      </c>
      <c r="B9" s="221" t="s">
        <v>555</v>
      </c>
      <c r="C9" s="264" t="s">
        <v>120</v>
      </c>
      <c r="D9" s="265">
        <v>1</v>
      </c>
      <c r="E9" s="213">
        <f>ROUND(2.11*1.2619,2)</f>
        <v>2.66</v>
      </c>
      <c r="F9" s="215">
        <f t="shared" si="0"/>
        <v>2.66</v>
      </c>
      <c r="H9" s="174"/>
    </row>
    <row r="10" spans="1:8" ht="15" x14ac:dyDescent="0.2">
      <c r="A10" s="151" t="s">
        <v>158</v>
      </c>
      <c r="B10" s="221" t="s">
        <v>556</v>
      </c>
      <c r="C10" s="264" t="s">
        <v>120</v>
      </c>
      <c r="D10" s="265">
        <v>5</v>
      </c>
      <c r="E10" s="213">
        <v>2.37</v>
      </c>
      <c r="F10" s="215">
        <f t="shared" si="0"/>
        <v>11.85</v>
      </c>
    </row>
    <row r="11" spans="1:8" ht="15.75" customHeight="1" x14ac:dyDescent="0.2">
      <c r="A11" s="219" t="s">
        <v>557</v>
      </c>
      <c r="B11" s="150" t="s">
        <v>558</v>
      </c>
      <c r="C11" s="265" t="s">
        <v>120</v>
      </c>
      <c r="D11" s="265">
        <v>1</v>
      </c>
      <c r="E11" s="213">
        <f>ROUND(5.61*1.2619,2)</f>
        <v>7.08</v>
      </c>
      <c r="F11" s="215">
        <f t="shared" si="0"/>
        <v>7.08</v>
      </c>
      <c r="H11" s="174"/>
    </row>
    <row r="12" spans="1:8" ht="15" x14ac:dyDescent="0.2">
      <c r="A12" s="219" t="s">
        <v>554</v>
      </c>
      <c r="B12" s="150" t="s">
        <v>559</v>
      </c>
      <c r="C12" s="265" t="s">
        <v>120</v>
      </c>
      <c r="D12" s="265">
        <v>1</v>
      </c>
      <c r="E12" s="213">
        <f>ROUND(2.11*1.2619,2)</f>
        <v>2.66</v>
      </c>
      <c r="F12" s="215">
        <f t="shared" si="0"/>
        <v>2.66</v>
      </c>
      <c r="H12" s="174"/>
    </row>
    <row r="13" spans="1:8" ht="15" x14ac:dyDescent="0.2">
      <c r="A13" s="151" t="s">
        <v>158</v>
      </c>
      <c r="B13" s="216" t="s">
        <v>560</v>
      </c>
      <c r="C13" s="262" t="s">
        <v>120</v>
      </c>
      <c r="D13" s="265">
        <v>2</v>
      </c>
      <c r="E13" s="215">
        <v>8</v>
      </c>
      <c r="F13" s="215">
        <f t="shared" si="0"/>
        <v>16</v>
      </c>
      <c r="H13" s="266"/>
    </row>
    <row r="14" spans="1:8" ht="15" x14ac:dyDescent="0.2">
      <c r="A14" s="151" t="s">
        <v>158</v>
      </c>
      <c r="B14" s="221" t="s">
        <v>561</v>
      </c>
      <c r="C14" s="264" t="s">
        <v>120</v>
      </c>
      <c r="D14" s="265">
        <v>1</v>
      </c>
      <c r="E14" s="213">
        <v>17.62</v>
      </c>
      <c r="F14" s="215">
        <f t="shared" si="0"/>
        <v>17.62</v>
      </c>
    </row>
    <row r="15" spans="1:8" ht="15" x14ac:dyDescent="0.2">
      <c r="A15" s="151" t="s">
        <v>158</v>
      </c>
      <c r="B15" s="221" t="s">
        <v>562</v>
      </c>
      <c r="C15" s="264" t="s">
        <v>120</v>
      </c>
      <c r="D15" s="265">
        <v>8</v>
      </c>
      <c r="E15" s="213">
        <v>1.1499999999999999</v>
      </c>
      <c r="F15" s="215">
        <f t="shared" si="0"/>
        <v>9.1999999999999993</v>
      </c>
    </row>
    <row r="16" spans="1:8" ht="15" x14ac:dyDescent="0.2">
      <c r="A16" s="219" t="s">
        <v>563</v>
      </c>
      <c r="B16" s="221" t="s">
        <v>564</v>
      </c>
      <c r="C16" s="264" t="s">
        <v>120</v>
      </c>
      <c r="D16" s="265">
        <v>15</v>
      </c>
      <c r="E16" s="213">
        <f>ROUND(0.07*1.2619,2)</f>
        <v>0.09</v>
      </c>
      <c r="F16" s="215">
        <f t="shared" si="0"/>
        <v>1.35</v>
      </c>
      <c r="H16" s="174"/>
    </row>
    <row r="17" spans="1:13" ht="44.25" customHeight="1" x14ac:dyDescent="0.2">
      <c r="A17" s="219" t="s">
        <v>565</v>
      </c>
      <c r="B17" s="221" t="s">
        <v>566</v>
      </c>
      <c r="C17" s="265" t="s">
        <v>120</v>
      </c>
      <c r="D17" s="265">
        <v>16</v>
      </c>
      <c r="E17" s="213">
        <f>ROUND(0.61*1.2619,2)</f>
        <v>0.77</v>
      </c>
      <c r="F17" s="215">
        <f t="shared" si="0"/>
        <v>12.32</v>
      </c>
      <c r="H17" s="174"/>
    </row>
    <row r="18" spans="1:13" ht="15" x14ac:dyDescent="0.2">
      <c r="A18" s="151" t="s">
        <v>158</v>
      </c>
      <c r="B18" s="221" t="s">
        <v>567</v>
      </c>
      <c r="C18" s="262" t="s">
        <v>120</v>
      </c>
      <c r="D18" s="265">
        <v>5</v>
      </c>
      <c r="E18" s="213">
        <v>0.87</v>
      </c>
      <c r="F18" s="215">
        <f t="shared" si="0"/>
        <v>4.3499999999999996</v>
      </c>
    </row>
    <row r="19" spans="1:13" ht="15" x14ac:dyDescent="0.2">
      <c r="A19" s="151" t="s">
        <v>158</v>
      </c>
      <c r="B19" s="221" t="s">
        <v>568</v>
      </c>
      <c r="C19" s="264" t="s">
        <v>120</v>
      </c>
      <c r="D19" s="265">
        <v>3</v>
      </c>
      <c r="E19" s="213">
        <v>6.49</v>
      </c>
      <c r="F19" s="215">
        <f t="shared" si="0"/>
        <v>19.47</v>
      </c>
    </row>
    <row r="20" spans="1:13" ht="30" x14ac:dyDescent="0.2">
      <c r="A20" s="151" t="s">
        <v>158</v>
      </c>
      <c r="B20" s="221" t="s">
        <v>569</v>
      </c>
      <c r="C20" s="265" t="s">
        <v>120</v>
      </c>
      <c r="D20" s="265">
        <v>2</v>
      </c>
      <c r="E20" s="213">
        <v>6.9</v>
      </c>
      <c r="F20" s="215">
        <f t="shared" si="0"/>
        <v>13.8</v>
      </c>
    </row>
    <row r="21" spans="1:13" ht="20.25" customHeight="1" x14ac:dyDescent="0.2">
      <c r="A21" s="151" t="s">
        <v>158</v>
      </c>
      <c r="B21" s="221" t="s">
        <v>570</v>
      </c>
      <c r="C21" s="262" t="s">
        <v>120</v>
      </c>
      <c r="D21" s="265">
        <v>1</v>
      </c>
      <c r="E21" s="215">
        <v>26</v>
      </c>
      <c r="F21" s="215">
        <f t="shared" si="0"/>
        <v>26</v>
      </c>
      <c r="I21" s="163"/>
      <c r="J21" s="216"/>
      <c r="K21" s="213"/>
      <c r="L21" s="215"/>
      <c r="M21" s="267"/>
    </row>
    <row r="22" spans="1:13" ht="15" x14ac:dyDescent="0.2">
      <c r="A22" s="151">
        <v>10101</v>
      </c>
      <c r="B22" s="221" t="s">
        <v>571</v>
      </c>
      <c r="C22" s="265" t="s">
        <v>348</v>
      </c>
      <c r="D22" s="263">
        <v>8</v>
      </c>
      <c r="E22" s="267">
        <f>ROUND((5.34/1.309)*1.2619,2)</f>
        <v>5.15</v>
      </c>
      <c r="F22" s="215">
        <f t="shared" si="0"/>
        <v>41.2</v>
      </c>
    </row>
    <row r="23" spans="1:13" ht="15" x14ac:dyDescent="0.2">
      <c r="A23" s="163" t="s">
        <v>349</v>
      </c>
      <c r="B23" s="221" t="s">
        <v>572</v>
      </c>
      <c r="C23" s="262" t="s">
        <v>348</v>
      </c>
      <c r="D23" s="222">
        <v>12</v>
      </c>
      <c r="E23" s="267">
        <f>ROUND((6.33/1.309)*1.2619,2)</f>
        <v>6.1</v>
      </c>
      <c r="F23" s="215">
        <f t="shared" si="0"/>
        <v>73.2</v>
      </c>
    </row>
    <row r="24" spans="1:13" ht="15" x14ac:dyDescent="0.25">
      <c r="A24" s="162"/>
      <c r="B24" s="145"/>
      <c r="C24" s="144"/>
      <c r="D24" s="162"/>
      <c r="E24" s="268"/>
      <c r="F24" s="144"/>
    </row>
    <row r="25" spans="1:13" ht="15" x14ac:dyDescent="0.25">
      <c r="A25" s="162"/>
      <c r="B25" s="145"/>
      <c r="C25" s="144"/>
      <c r="D25" s="162"/>
      <c r="E25" s="166" t="s">
        <v>311</v>
      </c>
      <c r="F25" s="167">
        <f>SUM(F6:F23)</f>
        <v>350.88</v>
      </c>
    </row>
  </sheetData>
  <mergeCells count="2">
    <mergeCell ref="A1:F1"/>
    <mergeCell ref="B3:F3"/>
  </mergeCells>
  <pageMargins left="0.51181102362204722" right="0.51181102362204722" top="0.78740157480314965" bottom="0.78740157480314965" header="0.31496062992125984" footer="0.31496062992125984"/>
  <pageSetup paperSize="9" scale="95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view="pageBreakPreview" topLeftCell="A16" zoomScaleNormal="91" zoomScaleSheetLayoutView="100" workbookViewId="0">
      <selection activeCell="F13" sqref="F13"/>
    </sheetView>
  </sheetViews>
  <sheetFormatPr defaultRowHeight="12.75" x14ac:dyDescent="0.2"/>
  <cols>
    <col min="1" max="1" width="11.140625" style="143" customWidth="1"/>
    <col min="2" max="2" width="42" style="143" customWidth="1"/>
    <col min="3" max="7" width="9.140625" style="143"/>
    <col min="8" max="8" width="16.28515625" style="143" customWidth="1"/>
    <col min="9" max="9" width="26.140625" style="143" customWidth="1"/>
    <col min="10" max="16384" width="9.140625" style="143"/>
  </cols>
  <sheetData>
    <row r="1" spans="1:15" ht="15" x14ac:dyDescent="0.2">
      <c r="A1" s="453" t="s">
        <v>65</v>
      </c>
      <c r="B1" s="453"/>
      <c r="C1" s="453"/>
      <c r="D1" s="453"/>
      <c r="E1" s="453"/>
      <c r="F1" s="453"/>
    </row>
    <row r="2" spans="1:15" ht="15" x14ac:dyDescent="0.2">
      <c r="A2" s="218"/>
      <c r="B2" s="163"/>
      <c r="C2" s="157"/>
      <c r="D2" s="157"/>
      <c r="E2" s="157"/>
      <c r="F2" s="157"/>
      <c r="H2" s="228"/>
      <c r="I2" s="228"/>
      <c r="J2" s="228"/>
      <c r="K2" s="228"/>
      <c r="L2" s="228"/>
      <c r="M2" s="228"/>
      <c r="N2" s="228"/>
      <c r="O2" s="269"/>
    </row>
    <row r="3" spans="1:15" ht="15" customHeight="1" x14ac:dyDescent="0.2">
      <c r="A3" s="176" t="s">
        <v>573</v>
      </c>
      <c r="B3" s="448" t="s">
        <v>65</v>
      </c>
      <c r="C3" s="448"/>
      <c r="D3" s="448"/>
      <c r="E3" s="448"/>
      <c r="F3" s="448"/>
      <c r="H3" s="228"/>
      <c r="I3" s="454"/>
      <c r="J3" s="454"/>
      <c r="K3" s="454"/>
      <c r="L3" s="454"/>
      <c r="M3" s="454"/>
      <c r="N3" s="454"/>
      <c r="O3" s="269"/>
    </row>
    <row r="4" spans="1:15" ht="15" x14ac:dyDescent="0.2">
      <c r="A4" s="157"/>
      <c r="B4" s="163"/>
      <c r="C4" s="157"/>
      <c r="D4" s="157"/>
      <c r="E4" s="157"/>
      <c r="F4" s="157"/>
      <c r="H4" s="269"/>
      <c r="I4" s="269"/>
      <c r="J4" s="269"/>
      <c r="K4" s="269"/>
      <c r="L4" s="269"/>
      <c r="M4" s="269"/>
      <c r="N4" s="269"/>
      <c r="O4" s="269"/>
    </row>
    <row r="5" spans="1:15" ht="14.25" x14ac:dyDescent="0.2">
      <c r="A5" s="147" t="s">
        <v>306</v>
      </c>
      <c r="B5" s="148" t="s">
        <v>307</v>
      </c>
      <c r="C5" s="148" t="s">
        <v>308</v>
      </c>
      <c r="D5" s="148" t="s">
        <v>309</v>
      </c>
      <c r="E5" s="148" t="s">
        <v>310</v>
      </c>
      <c r="F5" s="148" t="s">
        <v>311</v>
      </c>
    </row>
    <row r="6" spans="1:15" ht="30" x14ac:dyDescent="0.2">
      <c r="A6" s="219" t="s">
        <v>574</v>
      </c>
      <c r="B6" s="220" t="s">
        <v>575</v>
      </c>
      <c r="C6" s="270" t="s">
        <v>27</v>
      </c>
      <c r="D6" s="271">
        <v>3</v>
      </c>
      <c r="E6" s="213">
        <f>ROUND(5.41*1.2619,2)</f>
        <v>6.83</v>
      </c>
      <c r="F6" s="213">
        <f>ROUND(D6*E6,2)</f>
        <v>20.49</v>
      </c>
      <c r="I6" s="174"/>
    </row>
    <row r="7" spans="1:15" ht="15" x14ac:dyDescent="0.2">
      <c r="A7" s="151">
        <v>62702</v>
      </c>
      <c r="B7" s="221" t="s">
        <v>576</v>
      </c>
      <c r="C7" s="272" t="s">
        <v>27</v>
      </c>
      <c r="D7" s="273">
        <v>15</v>
      </c>
      <c r="E7" s="215">
        <f>ROUND((5.69/1.309)*1.2619,2)</f>
        <v>5.49</v>
      </c>
      <c r="F7" s="213">
        <f t="shared" ref="F7:F23" si="0">ROUND(D7*E7,2)</f>
        <v>82.35</v>
      </c>
      <c r="I7" s="174"/>
    </row>
    <row r="8" spans="1:15" ht="30" x14ac:dyDescent="0.2">
      <c r="A8" s="151">
        <v>9835</v>
      </c>
      <c r="B8" s="216" t="s">
        <v>577</v>
      </c>
      <c r="C8" s="223" t="s">
        <v>27</v>
      </c>
      <c r="D8" s="271">
        <v>8</v>
      </c>
      <c r="E8" s="213">
        <f>ROUND(3.89*1.2619,2)</f>
        <v>4.91</v>
      </c>
      <c r="F8" s="213">
        <f t="shared" si="0"/>
        <v>39.28</v>
      </c>
    </row>
    <row r="9" spans="1:15" ht="30" x14ac:dyDescent="0.2">
      <c r="A9" s="151" t="s">
        <v>158</v>
      </c>
      <c r="B9" s="221" t="s">
        <v>578</v>
      </c>
      <c r="C9" s="223" t="s">
        <v>120</v>
      </c>
      <c r="D9" s="271">
        <v>1</v>
      </c>
      <c r="E9" s="213">
        <v>10.14</v>
      </c>
      <c r="F9" s="213">
        <f t="shared" si="0"/>
        <v>10.14</v>
      </c>
    </row>
    <row r="10" spans="1:15" ht="43.5" customHeight="1" x14ac:dyDescent="0.2">
      <c r="A10" s="219" t="s">
        <v>579</v>
      </c>
      <c r="B10" s="150" t="s">
        <v>580</v>
      </c>
      <c r="C10" s="272" t="s">
        <v>120</v>
      </c>
      <c r="D10" s="274">
        <v>1</v>
      </c>
      <c r="E10" s="213">
        <f>ROUND(19.82*1.2619,2)</f>
        <v>25.01</v>
      </c>
      <c r="F10" s="213">
        <f t="shared" si="0"/>
        <v>25.01</v>
      </c>
      <c r="H10" s="174"/>
    </row>
    <row r="11" spans="1:15" ht="28.5" customHeight="1" x14ac:dyDescent="0.2">
      <c r="A11" s="219" t="s">
        <v>581</v>
      </c>
      <c r="B11" s="221" t="s">
        <v>582</v>
      </c>
      <c r="C11" s="272" t="s">
        <v>120</v>
      </c>
      <c r="D11" s="275">
        <v>6</v>
      </c>
      <c r="E11" s="213">
        <f>ROUND(1.92*1.2619,2)</f>
        <v>2.42</v>
      </c>
      <c r="F11" s="213">
        <f t="shared" si="0"/>
        <v>14.52</v>
      </c>
      <c r="H11" s="174"/>
    </row>
    <row r="12" spans="1:15" ht="30.75" customHeight="1" x14ac:dyDescent="0.2">
      <c r="A12" s="219" t="s">
        <v>583</v>
      </c>
      <c r="B12" s="221" t="s">
        <v>584</v>
      </c>
      <c r="C12" s="272" t="s">
        <v>120</v>
      </c>
      <c r="D12" s="273">
        <v>3</v>
      </c>
      <c r="E12" s="213">
        <f>ROUND(0.84*1.2619,2)</f>
        <v>1.06</v>
      </c>
      <c r="F12" s="213">
        <f>ROUND(D12*E12,2)</f>
        <v>3.18</v>
      </c>
      <c r="G12" s="174"/>
    </row>
    <row r="13" spans="1:15" ht="30" customHeight="1" x14ac:dyDescent="0.2">
      <c r="A13" s="219" t="s">
        <v>585</v>
      </c>
      <c r="B13" s="221" t="s">
        <v>586</v>
      </c>
      <c r="C13" s="272" t="s">
        <v>120</v>
      </c>
      <c r="D13" s="274">
        <v>1</v>
      </c>
      <c r="E13" s="213">
        <f>ROUND(6.86*1.2619,2)</f>
        <v>8.66</v>
      </c>
      <c r="F13" s="213">
        <f t="shared" si="0"/>
        <v>8.66</v>
      </c>
      <c r="H13" s="174"/>
    </row>
    <row r="14" spans="1:15" ht="30" customHeight="1" x14ac:dyDescent="0.2">
      <c r="A14" s="219" t="s">
        <v>587</v>
      </c>
      <c r="B14" s="221" t="s">
        <v>588</v>
      </c>
      <c r="C14" s="272" t="s">
        <v>120</v>
      </c>
      <c r="D14" s="274">
        <v>4</v>
      </c>
      <c r="E14" s="213">
        <f>ROUND(3.71*1.2619,2)</f>
        <v>4.68</v>
      </c>
      <c r="F14" s="213">
        <f t="shared" si="0"/>
        <v>18.72</v>
      </c>
      <c r="H14" s="219"/>
      <c r="I14" s="221"/>
      <c r="J14" s="223"/>
      <c r="K14" s="271"/>
      <c r="L14" s="213"/>
    </row>
    <row r="15" spans="1:15" ht="15.75" customHeight="1" x14ac:dyDescent="0.2">
      <c r="A15" s="219" t="s">
        <v>158</v>
      </c>
      <c r="B15" s="221" t="s">
        <v>589</v>
      </c>
      <c r="C15" s="272" t="s">
        <v>120</v>
      </c>
      <c r="D15" s="274">
        <v>4</v>
      </c>
      <c r="E15" s="276">
        <v>14.38</v>
      </c>
      <c r="F15" s="213">
        <f t="shared" si="0"/>
        <v>57.52</v>
      </c>
      <c r="H15" s="277"/>
      <c r="I15" s="221"/>
      <c r="J15" s="223"/>
      <c r="K15" s="271"/>
      <c r="L15" s="215"/>
    </row>
    <row r="16" spans="1:15" ht="60" x14ac:dyDescent="0.2">
      <c r="A16" s="219" t="s">
        <v>486</v>
      </c>
      <c r="B16" s="221" t="s">
        <v>487</v>
      </c>
      <c r="C16" s="272" t="s">
        <v>120</v>
      </c>
      <c r="D16" s="275">
        <v>1</v>
      </c>
      <c r="E16" s="213">
        <f>ROUND(18.34*1.2619,2)</f>
        <v>23.14</v>
      </c>
      <c r="F16" s="213">
        <f t="shared" si="0"/>
        <v>23.14</v>
      </c>
    </row>
    <row r="17" spans="1:9" ht="30" customHeight="1" x14ac:dyDescent="0.2">
      <c r="A17" s="219" t="s">
        <v>590</v>
      </c>
      <c r="B17" s="221" t="s">
        <v>591</v>
      </c>
      <c r="C17" s="272" t="s">
        <v>120</v>
      </c>
      <c r="D17" s="273">
        <v>1</v>
      </c>
      <c r="E17" s="213">
        <f>ROUND(21.384*1.2619,2)</f>
        <v>26.98</v>
      </c>
      <c r="F17" s="213">
        <f t="shared" si="0"/>
        <v>26.98</v>
      </c>
    </row>
    <row r="18" spans="1:9" ht="15" x14ac:dyDescent="0.2">
      <c r="A18" s="151" t="s">
        <v>158</v>
      </c>
      <c r="B18" s="221" t="s">
        <v>592</v>
      </c>
      <c r="C18" s="272" t="s">
        <v>120</v>
      </c>
      <c r="D18" s="274">
        <v>5</v>
      </c>
      <c r="E18" s="213">
        <v>5.94</v>
      </c>
      <c r="F18" s="213">
        <f t="shared" si="0"/>
        <v>29.7</v>
      </c>
    </row>
    <row r="19" spans="1:9" ht="30" x14ac:dyDescent="0.2">
      <c r="A19" s="219" t="s">
        <v>593</v>
      </c>
      <c r="B19" s="221" t="s">
        <v>594</v>
      </c>
      <c r="C19" s="272" t="s">
        <v>120</v>
      </c>
      <c r="D19" s="274">
        <v>1</v>
      </c>
      <c r="E19" s="213">
        <f>ROUND(123.65*1.2619,2)</f>
        <v>156.03</v>
      </c>
      <c r="F19" s="213">
        <f t="shared" si="0"/>
        <v>156.03</v>
      </c>
      <c r="H19" s="174"/>
    </row>
    <row r="20" spans="1:9" ht="15" x14ac:dyDescent="0.2">
      <c r="A20" s="151" t="s">
        <v>158</v>
      </c>
      <c r="B20" s="221" t="s">
        <v>595</v>
      </c>
      <c r="C20" s="272" t="s">
        <v>120</v>
      </c>
      <c r="D20" s="274">
        <v>1</v>
      </c>
      <c r="E20" s="213">
        <v>16.12</v>
      </c>
      <c r="F20" s="213">
        <f t="shared" si="0"/>
        <v>16.12</v>
      </c>
    </row>
    <row r="21" spans="1:9" ht="27" customHeight="1" x14ac:dyDescent="0.2">
      <c r="A21" s="219" t="s">
        <v>596</v>
      </c>
      <c r="B21" s="221" t="s">
        <v>597</v>
      </c>
      <c r="C21" s="270" t="s">
        <v>120</v>
      </c>
      <c r="D21" s="271">
        <v>4</v>
      </c>
      <c r="E21" s="213">
        <f>ROUND(3.19*1.2619,2)</f>
        <v>4.03</v>
      </c>
      <c r="F21" s="213">
        <f t="shared" si="0"/>
        <v>16.12</v>
      </c>
    </row>
    <row r="22" spans="1:9" ht="15" x14ac:dyDescent="0.2">
      <c r="A22" s="151">
        <v>10139</v>
      </c>
      <c r="B22" s="221" t="s">
        <v>598</v>
      </c>
      <c r="C22" s="278" t="s">
        <v>348</v>
      </c>
      <c r="D22" s="275">
        <v>3</v>
      </c>
      <c r="E22" s="215">
        <f>ROUND((6.33/1.309)*1.2619,2)</f>
        <v>6.1</v>
      </c>
      <c r="F22" s="213">
        <f t="shared" si="0"/>
        <v>18.3</v>
      </c>
      <c r="I22" s="174"/>
    </row>
    <row r="23" spans="1:9" ht="15" x14ac:dyDescent="0.2">
      <c r="A23" s="163" t="s">
        <v>546</v>
      </c>
      <c r="B23" s="221" t="s">
        <v>547</v>
      </c>
      <c r="C23" s="213" t="s">
        <v>348</v>
      </c>
      <c r="D23" s="222">
        <v>2</v>
      </c>
      <c r="E23" s="213">
        <f>ROUND(8.81*1.2619,2)</f>
        <v>11.12</v>
      </c>
      <c r="F23" s="213">
        <f t="shared" si="0"/>
        <v>22.24</v>
      </c>
    </row>
    <row r="24" spans="1:9" ht="30" x14ac:dyDescent="0.2">
      <c r="A24" s="163" t="s">
        <v>415</v>
      </c>
      <c r="B24" s="221" t="s">
        <v>416</v>
      </c>
      <c r="C24" s="213" t="s">
        <v>348</v>
      </c>
      <c r="D24" s="222">
        <v>3</v>
      </c>
      <c r="E24" s="213">
        <f>ROUND(10.23*1.2619,2)</f>
        <v>12.91</v>
      </c>
      <c r="F24" s="213">
        <f>ROUND(D24*E24,2)</f>
        <v>38.729999999999997</v>
      </c>
    </row>
    <row r="25" spans="1:9" ht="15" x14ac:dyDescent="0.25">
      <c r="A25" s="162"/>
      <c r="B25" s="145"/>
      <c r="C25" s="144"/>
      <c r="D25" s="162"/>
      <c r="E25" s="268"/>
      <c r="F25" s="144"/>
    </row>
    <row r="26" spans="1:9" ht="15" x14ac:dyDescent="0.25">
      <c r="A26" s="162"/>
      <c r="B26" s="145"/>
      <c r="C26" s="144"/>
      <c r="D26" s="162"/>
      <c r="E26" s="166" t="s">
        <v>311</v>
      </c>
      <c r="F26" s="167">
        <f>SUM(F6:F24)</f>
        <v>627.23</v>
      </c>
    </row>
  </sheetData>
  <mergeCells count="3">
    <mergeCell ref="A1:F1"/>
    <mergeCell ref="B3:F3"/>
    <mergeCell ref="I3:N3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view="pageBreakPreview" zoomScaleNormal="89" zoomScaleSheetLayoutView="100" workbookViewId="0">
      <selection activeCell="H14" sqref="H14"/>
    </sheetView>
  </sheetViews>
  <sheetFormatPr defaultRowHeight="12.75" x14ac:dyDescent="0.2"/>
  <cols>
    <col min="1" max="1" width="12" style="143" customWidth="1"/>
    <col min="2" max="2" width="47.85546875" style="143" customWidth="1"/>
    <col min="3" max="3" width="6.85546875" style="143" customWidth="1"/>
    <col min="4" max="5" width="9.28515625" style="143" customWidth="1"/>
    <col min="6" max="6" width="11.5703125" style="143" bestFit="1" customWidth="1"/>
    <col min="7" max="16384" width="9.140625" style="143"/>
  </cols>
  <sheetData>
    <row r="1" spans="1:10" ht="37.5" customHeight="1" x14ac:dyDescent="0.2">
      <c r="A1" s="452" t="s">
        <v>66</v>
      </c>
      <c r="B1" s="452"/>
      <c r="C1" s="452"/>
      <c r="D1" s="452"/>
      <c r="E1" s="452"/>
      <c r="F1" s="452"/>
    </row>
    <row r="2" spans="1:10" ht="15" x14ac:dyDescent="0.25">
      <c r="A2" s="260"/>
      <c r="B2" s="145"/>
      <c r="C2" s="144"/>
      <c r="D2" s="144"/>
      <c r="E2" s="144"/>
      <c r="F2" s="144"/>
    </row>
    <row r="3" spans="1:10" ht="15" x14ac:dyDescent="0.2">
      <c r="A3" s="176" t="s">
        <v>599</v>
      </c>
      <c r="B3" s="448" t="s">
        <v>66</v>
      </c>
      <c r="C3" s="448"/>
      <c r="D3" s="448"/>
      <c r="E3" s="448"/>
      <c r="F3" s="448"/>
      <c r="J3" s="174"/>
    </row>
    <row r="4" spans="1:10" ht="15" x14ac:dyDescent="0.25">
      <c r="A4" s="144"/>
      <c r="B4" s="145"/>
      <c r="C4" s="144"/>
      <c r="D4" s="144"/>
      <c r="E4" s="144"/>
      <c r="F4" s="144"/>
    </row>
    <row r="5" spans="1:10" ht="14.25" x14ac:dyDescent="0.2">
      <c r="A5" s="147" t="s">
        <v>306</v>
      </c>
      <c r="B5" s="148" t="s">
        <v>307</v>
      </c>
      <c r="C5" s="148" t="s">
        <v>308</v>
      </c>
      <c r="D5" s="148" t="s">
        <v>309</v>
      </c>
      <c r="E5" s="148" t="s">
        <v>310</v>
      </c>
      <c r="F5" s="148" t="s">
        <v>311</v>
      </c>
    </row>
    <row r="6" spans="1:10" ht="28.5" customHeight="1" x14ac:dyDescent="0.2">
      <c r="A6" s="219" t="s">
        <v>574</v>
      </c>
      <c r="B6" s="220" t="s">
        <v>600</v>
      </c>
      <c r="C6" s="270" t="s">
        <v>27</v>
      </c>
      <c r="D6" s="271">
        <v>6</v>
      </c>
      <c r="E6" s="213">
        <f>ROUND(5.41*1.2619,2)</f>
        <v>6.83</v>
      </c>
      <c r="F6" s="213">
        <f>ROUND(D6*E6,2)</f>
        <v>40.98</v>
      </c>
      <c r="H6" s="174"/>
    </row>
    <row r="7" spans="1:10" ht="30" x14ac:dyDescent="0.2">
      <c r="A7" s="219" t="s">
        <v>601</v>
      </c>
      <c r="B7" s="221" t="s">
        <v>602</v>
      </c>
      <c r="C7" s="223" t="s">
        <v>27</v>
      </c>
      <c r="D7" s="271">
        <v>6</v>
      </c>
      <c r="E7" s="213">
        <f>ROUND(23.69*1.2619,2)</f>
        <v>29.89</v>
      </c>
      <c r="F7" s="213">
        <f t="shared" ref="F7:F26" si="0">ROUND(D7*E7,2)</f>
        <v>179.34</v>
      </c>
      <c r="H7" s="174"/>
    </row>
    <row r="8" spans="1:10" ht="31.5" customHeight="1" x14ac:dyDescent="0.2">
      <c r="A8" s="151">
        <v>9835</v>
      </c>
      <c r="B8" s="216" t="s">
        <v>577</v>
      </c>
      <c r="C8" s="223" t="s">
        <v>27</v>
      </c>
      <c r="D8" s="271">
        <v>48</v>
      </c>
      <c r="E8" s="213">
        <f>ROUND(3.89*1.2619,2)</f>
        <v>4.91</v>
      </c>
      <c r="F8" s="213">
        <f t="shared" si="0"/>
        <v>235.68</v>
      </c>
    </row>
    <row r="9" spans="1:10" ht="15" x14ac:dyDescent="0.2">
      <c r="A9" s="151" t="s">
        <v>158</v>
      </c>
      <c r="B9" s="221" t="s">
        <v>578</v>
      </c>
      <c r="C9" s="223" t="s">
        <v>120</v>
      </c>
      <c r="D9" s="271">
        <v>5</v>
      </c>
      <c r="E9" s="213">
        <v>10.14</v>
      </c>
      <c r="F9" s="213">
        <f t="shared" si="0"/>
        <v>50.7</v>
      </c>
    </row>
    <row r="10" spans="1:10" ht="15" x14ac:dyDescent="0.2">
      <c r="A10" s="151" t="s">
        <v>158</v>
      </c>
      <c r="B10" s="150" t="s">
        <v>603</v>
      </c>
      <c r="C10" s="279" t="s">
        <v>120</v>
      </c>
      <c r="D10" s="271">
        <v>4</v>
      </c>
      <c r="E10" s="151">
        <v>33.979999999999997</v>
      </c>
      <c r="F10" s="213">
        <f t="shared" si="0"/>
        <v>135.91999999999999</v>
      </c>
    </row>
    <row r="11" spans="1:10" ht="30" x14ac:dyDescent="0.2">
      <c r="A11" s="219" t="s">
        <v>604</v>
      </c>
      <c r="B11" s="221" t="s">
        <v>605</v>
      </c>
      <c r="C11" s="270" t="s">
        <v>120</v>
      </c>
      <c r="D11" s="271">
        <v>5</v>
      </c>
      <c r="E11" s="213">
        <f>ROUND(1.34*1.2619,2)</f>
        <v>1.69</v>
      </c>
      <c r="F11" s="213">
        <f t="shared" si="0"/>
        <v>8.4499999999999993</v>
      </c>
      <c r="H11" s="174"/>
    </row>
    <row r="12" spans="1:10" ht="30" x14ac:dyDescent="0.2">
      <c r="A12" s="219" t="s">
        <v>606</v>
      </c>
      <c r="B12" s="221" t="s">
        <v>607</v>
      </c>
      <c r="C12" s="223" t="s">
        <v>120</v>
      </c>
      <c r="D12" s="271">
        <v>4</v>
      </c>
      <c r="E12" s="213">
        <f>ROUND(1*1.2619,2)</f>
        <v>1.26</v>
      </c>
      <c r="F12" s="213">
        <f>ROUND(D12*E12,2)</f>
        <v>5.04</v>
      </c>
      <c r="H12" s="174"/>
    </row>
    <row r="13" spans="1:10" ht="30" x14ac:dyDescent="0.2">
      <c r="A13" s="219" t="s">
        <v>608</v>
      </c>
      <c r="B13" s="221" t="s">
        <v>609</v>
      </c>
      <c r="C13" s="223" t="s">
        <v>120</v>
      </c>
      <c r="D13" s="271">
        <v>1</v>
      </c>
      <c r="E13" s="213">
        <f>ROUND(0.57*1.2619,2)</f>
        <v>0.72</v>
      </c>
      <c r="F13" s="213">
        <f t="shared" si="0"/>
        <v>0.72</v>
      </c>
      <c r="H13" s="174"/>
    </row>
    <row r="14" spans="1:10" ht="30" x14ac:dyDescent="0.2">
      <c r="A14" s="219" t="s">
        <v>610</v>
      </c>
      <c r="B14" s="221" t="s">
        <v>611</v>
      </c>
      <c r="C14" s="223" t="s">
        <v>120</v>
      </c>
      <c r="D14" s="271">
        <v>1</v>
      </c>
      <c r="E14" s="215">
        <f>ROUND(1.74*1.2619,2)</f>
        <v>2.2000000000000002</v>
      </c>
      <c r="F14" s="213">
        <f t="shared" si="0"/>
        <v>2.2000000000000002</v>
      </c>
      <c r="H14" s="174"/>
    </row>
    <row r="15" spans="1:10" ht="30" x14ac:dyDescent="0.2">
      <c r="A15" s="219" t="s">
        <v>612</v>
      </c>
      <c r="B15" s="221" t="s">
        <v>613</v>
      </c>
      <c r="C15" s="279" t="s">
        <v>120</v>
      </c>
      <c r="D15" s="271">
        <v>4</v>
      </c>
      <c r="E15" s="213">
        <f>ROUND(4.98*1.2619,2)</f>
        <v>6.28</v>
      </c>
      <c r="F15" s="213">
        <f t="shared" si="0"/>
        <v>25.12</v>
      </c>
      <c r="H15" s="174"/>
    </row>
    <row r="16" spans="1:10" ht="30" x14ac:dyDescent="0.2">
      <c r="A16" s="219" t="s">
        <v>596</v>
      </c>
      <c r="B16" s="221" t="s">
        <v>597</v>
      </c>
      <c r="C16" s="270" t="s">
        <v>120</v>
      </c>
      <c r="D16" s="271">
        <v>2</v>
      </c>
      <c r="E16" s="213">
        <f>ROUND(3.19*1.2619,2)</f>
        <v>4.03</v>
      </c>
      <c r="F16" s="213">
        <f t="shared" si="0"/>
        <v>8.06</v>
      </c>
      <c r="H16" s="174"/>
    </row>
    <row r="17" spans="1:10" ht="30" x14ac:dyDescent="0.2">
      <c r="A17" s="219" t="s">
        <v>587</v>
      </c>
      <c r="B17" s="221" t="s">
        <v>588</v>
      </c>
      <c r="C17" s="223" t="s">
        <v>120</v>
      </c>
      <c r="D17" s="271">
        <v>4</v>
      </c>
      <c r="E17" s="213">
        <f>ROUND(2.94*1.2619,2)</f>
        <v>3.71</v>
      </c>
      <c r="F17" s="213">
        <f t="shared" si="0"/>
        <v>14.84</v>
      </c>
      <c r="H17" s="174"/>
    </row>
    <row r="18" spans="1:10" ht="30" x14ac:dyDescent="0.2">
      <c r="A18" s="219" t="s">
        <v>614</v>
      </c>
      <c r="B18" s="221" t="s">
        <v>615</v>
      </c>
      <c r="C18" s="279" t="s">
        <v>120</v>
      </c>
      <c r="D18" s="271">
        <v>1</v>
      </c>
      <c r="E18" s="213">
        <f>ROUND(13.32*1.2619,2)</f>
        <v>16.809999999999999</v>
      </c>
      <c r="F18" s="213">
        <f t="shared" si="0"/>
        <v>16.809999999999999</v>
      </c>
      <c r="H18" s="174"/>
    </row>
    <row r="19" spans="1:10" ht="45" x14ac:dyDescent="0.2">
      <c r="A19" s="219" t="s">
        <v>616</v>
      </c>
      <c r="B19" s="221" t="s">
        <v>617</v>
      </c>
      <c r="C19" s="270" t="s">
        <v>120</v>
      </c>
      <c r="D19" s="271">
        <v>4</v>
      </c>
      <c r="E19" s="213">
        <f>ROUND(45.35*1.2619,2)</f>
        <v>57.23</v>
      </c>
      <c r="F19" s="213">
        <f t="shared" si="0"/>
        <v>228.92</v>
      </c>
      <c r="H19" s="174"/>
    </row>
    <row r="20" spans="1:10" ht="30" x14ac:dyDescent="0.2">
      <c r="A20" s="219" t="s">
        <v>618</v>
      </c>
      <c r="B20" s="221" t="s">
        <v>619</v>
      </c>
      <c r="C20" s="223" t="s">
        <v>120</v>
      </c>
      <c r="D20" s="271">
        <v>1</v>
      </c>
      <c r="E20" s="213">
        <f>ROUND(6.87*1.2619,2)</f>
        <v>8.67</v>
      </c>
      <c r="F20" s="213">
        <f t="shared" si="0"/>
        <v>8.67</v>
      </c>
      <c r="H20" s="174"/>
    </row>
    <row r="21" spans="1:10" ht="30" x14ac:dyDescent="0.2">
      <c r="A21" s="151" t="s">
        <v>158</v>
      </c>
      <c r="B21" s="216" t="s">
        <v>620</v>
      </c>
      <c r="C21" s="223" t="s">
        <v>120</v>
      </c>
      <c r="D21" s="271">
        <v>1</v>
      </c>
      <c r="E21" s="280">
        <v>6017.62</v>
      </c>
      <c r="F21" s="213">
        <f t="shared" si="0"/>
        <v>6017.62</v>
      </c>
      <c r="H21" s="266"/>
    </row>
    <row r="22" spans="1:10" ht="45" x14ac:dyDescent="0.2">
      <c r="A22" s="219" t="s">
        <v>621</v>
      </c>
      <c r="B22" s="216" t="s">
        <v>622</v>
      </c>
      <c r="C22" s="223" t="s">
        <v>120</v>
      </c>
      <c r="D22" s="271">
        <v>3</v>
      </c>
      <c r="E22" s="213">
        <f>ROUND(4.27*1.2619,2)</f>
        <v>5.39</v>
      </c>
      <c r="F22" s="213">
        <f t="shared" si="0"/>
        <v>16.170000000000002</v>
      </c>
      <c r="H22" s="174"/>
      <c r="J22" s="228"/>
    </row>
    <row r="23" spans="1:10" ht="30" x14ac:dyDescent="0.2">
      <c r="A23" s="151" t="s">
        <v>158</v>
      </c>
      <c r="B23" s="216" t="s">
        <v>507</v>
      </c>
      <c r="C23" s="279" t="s">
        <v>27</v>
      </c>
      <c r="D23" s="271">
        <v>48</v>
      </c>
      <c r="E23" s="215">
        <v>2</v>
      </c>
      <c r="F23" s="215">
        <f t="shared" si="0"/>
        <v>96</v>
      </c>
      <c r="J23" s="250"/>
    </row>
    <row r="24" spans="1:10" ht="30" x14ac:dyDescent="0.2">
      <c r="A24" s="151" t="s">
        <v>158</v>
      </c>
      <c r="B24" s="216" t="s">
        <v>623</v>
      </c>
      <c r="C24" s="270" t="s">
        <v>120</v>
      </c>
      <c r="D24" s="271">
        <v>5</v>
      </c>
      <c r="E24" s="213">
        <v>331.17</v>
      </c>
      <c r="F24" s="215">
        <f t="shared" si="0"/>
        <v>1655.85</v>
      </c>
      <c r="H24" s="266"/>
      <c r="J24" s="254"/>
    </row>
    <row r="25" spans="1:10" ht="30.75" customHeight="1" x14ac:dyDescent="0.2">
      <c r="A25" s="151" t="s">
        <v>158</v>
      </c>
      <c r="B25" s="216" t="s">
        <v>624</v>
      </c>
      <c r="C25" s="223" t="s">
        <v>120</v>
      </c>
      <c r="D25" s="271">
        <v>3</v>
      </c>
      <c r="E25" s="213">
        <v>407.72</v>
      </c>
      <c r="F25" s="215">
        <f t="shared" si="0"/>
        <v>1223.1600000000001</v>
      </c>
      <c r="H25" s="266"/>
      <c r="J25" s="237"/>
    </row>
    <row r="26" spans="1:10" ht="15" x14ac:dyDescent="0.2">
      <c r="A26" s="151" t="s">
        <v>158</v>
      </c>
      <c r="B26" s="216" t="s">
        <v>625</v>
      </c>
      <c r="C26" s="279" t="s">
        <v>120</v>
      </c>
      <c r="D26" s="271">
        <v>1</v>
      </c>
      <c r="E26" s="213">
        <v>89.04</v>
      </c>
      <c r="F26" s="215">
        <f t="shared" si="0"/>
        <v>89.04</v>
      </c>
      <c r="H26" s="266"/>
      <c r="J26" s="250"/>
    </row>
    <row r="27" spans="1:10" ht="30" x14ac:dyDescent="0.2">
      <c r="A27" s="163" t="s">
        <v>415</v>
      </c>
      <c r="B27" s="221" t="s">
        <v>416</v>
      </c>
      <c r="C27" s="213" t="s">
        <v>348</v>
      </c>
      <c r="D27" s="222">
        <v>6</v>
      </c>
      <c r="E27" s="213">
        <f>ROUND(10.23*1.2619,2)</f>
        <v>12.91</v>
      </c>
      <c r="F27" s="213">
        <f>ROUND(D27*E27,2)</f>
        <v>77.459999999999994</v>
      </c>
      <c r="J27" s="228"/>
    </row>
    <row r="28" spans="1:10" ht="15" x14ac:dyDescent="0.25">
      <c r="A28" s="162"/>
      <c r="B28" s="145"/>
      <c r="C28" s="144"/>
      <c r="D28" s="162"/>
      <c r="E28" s="268"/>
      <c r="F28" s="144"/>
    </row>
    <row r="29" spans="1:10" ht="12.75" customHeight="1" x14ac:dyDescent="0.25">
      <c r="A29" s="162"/>
      <c r="B29" s="145"/>
      <c r="C29" s="144"/>
      <c r="D29" s="162"/>
      <c r="E29" s="166" t="s">
        <v>311</v>
      </c>
      <c r="F29" s="167">
        <f>SUM(F6:F27)</f>
        <v>10136.75</v>
      </c>
      <c r="G29" s="281"/>
    </row>
  </sheetData>
  <mergeCells count="2">
    <mergeCell ref="A1:F1"/>
    <mergeCell ref="B3:F3"/>
  </mergeCells>
  <pageMargins left="0.51181102362204722" right="0.51181102362204722" top="0.78740157480314965" bottom="0.78740157480314965" header="0.31496062992125984" footer="0.31496062992125984"/>
  <pageSetup paperSize="9" scale="95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view="pageBreakPreview" zoomScale="90" zoomScaleNormal="80" zoomScaleSheetLayoutView="90" workbookViewId="0">
      <selection activeCell="G19" sqref="G19"/>
    </sheetView>
  </sheetViews>
  <sheetFormatPr defaultRowHeight="12.75" x14ac:dyDescent="0.2"/>
  <cols>
    <col min="1" max="1" width="11" style="143" customWidth="1"/>
    <col min="2" max="2" width="45" style="143" customWidth="1"/>
    <col min="3" max="3" width="7.140625" style="143" customWidth="1"/>
    <col min="4" max="5" width="9.140625" style="143"/>
    <col min="6" max="6" width="10.140625" style="143" customWidth="1"/>
    <col min="7" max="16384" width="9.140625" style="143"/>
  </cols>
  <sheetData>
    <row r="1" spans="1:6" ht="18.75" x14ac:dyDescent="0.2">
      <c r="A1" s="447" t="s">
        <v>626</v>
      </c>
      <c r="B1" s="447"/>
      <c r="C1" s="447"/>
      <c r="D1" s="447"/>
      <c r="E1" s="447"/>
      <c r="F1" s="447"/>
    </row>
    <row r="2" spans="1:6" ht="15" x14ac:dyDescent="0.25">
      <c r="A2" s="260"/>
      <c r="B2" s="145"/>
      <c r="C2" s="144"/>
      <c r="D2" s="144"/>
      <c r="E2" s="144"/>
      <c r="F2" s="144"/>
    </row>
    <row r="3" spans="1:6" ht="28.5" x14ac:dyDescent="0.2">
      <c r="A3" s="176" t="s">
        <v>627</v>
      </c>
      <c r="B3" s="448" t="s">
        <v>67</v>
      </c>
      <c r="C3" s="448"/>
      <c r="D3" s="448"/>
      <c r="E3" s="448"/>
      <c r="F3" s="448"/>
    </row>
    <row r="4" spans="1:6" ht="15" x14ac:dyDescent="0.25">
      <c r="A4" s="144"/>
      <c r="B4" s="145"/>
      <c r="C4" s="144"/>
      <c r="D4" s="144"/>
      <c r="E4" s="144"/>
      <c r="F4" s="144"/>
    </row>
    <row r="5" spans="1:6" ht="14.25" x14ac:dyDescent="0.2">
      <c r="A5" s="147" t="s">
        <v>306</v>
      </c>
      <c r="B5" s="148" t="s">
        <v>307</v>
      </c>
      <c r="C5" s="148" t="s">
        <v>308</v>
      </c>
      <c r="D5" s="148" t="s">
        <v>309</v>
      </c>
      <c r="E5" s="148" t="s">
        <v>310</v>
      </c>
      <c r="F5" s="148" t="s">
        <v>311</v>
      </c>
    </row>
    <row r="6" spans="1:6" ht="15" x14ac:dyDescent="0.25">
      <c r="A6" s="151" t="s">
        <v>158</v>
      </c>
      <c r="B6" s="261" t="s">
        <v>628</v>
      </c>
      <c r="C6" s="151" t="s">
        <v>331</v>
      </c>
      <c r="D6" s="212">
        <v>2</v>
      </c>
      <c r="E6" s="212">
        <v>25</v>
      </c>
      <c r="F6" s="212">
        <f>ROUND(D6*E6,2)</f>
        <v>50</v>
      </c>
    </row>
    <row r="7" spans="1:6" ht="15" x14ac:dyDescent="0.2">
      <c r="A7" s="151" t="s">
        <v>158</v>
      </c>
      <c r="B7" s="221" t="s">
        <v>629</v>
      </c>
      <c r="C7" s="151" t="s">
        <v>331</v>
      </c>
      <c r="D7" s="222">
        <v>2</v>
      </c>
      <c r="E7" s="212">
        <v>67</v>
      </c>
      <c r="F7" s="212">
        <f t="shared" ref="F7:F13" si="0">ROUND(D7*E7,2)</f>
        <v>134</v>
      </c>
    </row>
    <row r="8" spans="1:6" ht="15" x14ac:dyDescent="0.2">
      <c r="A8" s="151" t="s">
        <v>158</v>
      </c>
      <c r="B8" s="221" t="s">
        <v>630</v>
      </c>
      <c r="C8" s="151" t="s">
        <v>331</v>
      </c>
      <c r="D8" s="222">
        <v>2</v>
      </c>
      <c r="E8" s="212">
        <v>4</v>
      </c>
      <c r="F8" s="212">
        <f t="shared" si="0"/>
        <v>8</v>
      </c>
    </row>
    <row r="9" spans="1:6" ht="15" x14ac:dyDescent="0.2">
      <c r="A9" s="151" t="s">
        <v>158</v>
      </c>
      <c r="B9" s="221" t="s">
        <v>631</v>
      </c>
      <c r="C9" s="151" t="s">
        <v>331</v>
      </c>
      <c r="D9" s="222">
        <v>1</v>
      </c>
      <c r="E9" s="212">
        <v>5</v>
      </c>
      <c r="F9" s="212">
        <f t="shared" si="0"/>
        <v>5</v>
      </c>
    </row>
    <row r="10" spans="1:6" ht="15" customHeight="1" x14ac:dyDescent="0.2">
      <c r="A10" s="151" t="s">
        <v>158</v>
      </c>
      <c r="B10" s="224" t="s">
        <v>632</v>
      </c>
      <c r="C10" s="151" t="s">
        <v>331</v>
      </c>
      <c r="D10" s="152">
        <v>3</v>
      </c>
      <c r="E10" s="212">
        <v>35</v>
      </c>
      <c r="F10" s="212">
        <f t="shared" si="0"/>
        <v>105</v>
      </c>
    </row>
    <row r="11" spans="1:6" ht="16.5" customHeight="1" x14ac:dyDescent="0.2">
      <c r="A11" s="151" t="s">
        <v>158</v>
      </c>
      <c r="B11" s="216" t="s">
        <v>633</v>
      </c>
      <c r="C11" s="151" t="s">
        <v>331</v>
      </c>
      <c r="D11" s="222">
        <v>3</v>
      </c>
      <c r="E11" s="212">
        <v>30</v>
      </c>
      <c r="F11" s="212">
        <f t="shared" si="0"/>
        <v>90</v>
      </c>
    </row>
    <row r="12" spans="1:6" ht="15" x14ac:dyDescent="0.2">
      <c r="A12" s="151" t="s">
        <v>158</v>
      </c>
      <c r="B12" s="216" t="s">
        <v>634</v>
      </c>
      <c r="C12" s="151" t="s">
        <v>331</v>
      </c>
      <c r="D12" s="222">
        <v>1</v>
      </c>
      <c r="E12" s="212">
        <v>2614.4</v>
      </c>
      <c r="F12" s="212">
        <f>ROUND(D12*E12,2)</f>
        <v>2614.4</v>
      </c>
    </row>
    <row r="13" spans="1:6" ht="15" x14ac:dyDescent="0.2">
      <c r="A13" s="151" t="s">
        <v>158</v>
      </c>
      <c r="B13" s="216" t="s">
        <v>635</v>
      </c>
      <c r="C13" s="151" t="s">
        <v>331</v>
      </c>
      <c r="D13" s="222">
        <v>1</v>
      </c>
      <c r="E13" s="212">
        <v>1580.8</v>
      </c>
      <c r="F13" s="212">
        <f t="shared" si="0"/>
        <v>1580.8</v>
      </c>
    </row>
    <row r="14" spans="1:6" ht="30" x14ac:dyDescent="0.2">
      <c r="A14" s="163" t="s">
        <v>415</v>
      </c>
      <c r="B14" s="221" t="s">
        <v>416</v>
      </c>
      <c r="C14" s="213" t="s">
        <v>348</v>
      </c>
      <c r="D14" s="222">
        <v>6</v>
      </c>
      <c r="E14" s="213">
        <f>ROUND(10.23*1.2619,2)</f>
        <v>12.91</v>
      </c>
      <c r="F14" s="213">
        <f>ROUND(D14*E14,2)</f>
        <v>77.459999999999994</v>
      </c>
    </row>
    <row r="15" spans="1:6" ht="15" x14ac:dyDescent="0.25">
      <c r="A15" s="162"/>
      <c r="B15" s="145"/>
      <c r="C15" s="144"/>
      <c r="D15" s="162"/>
      <c r="E15" s="268"/>
      <c r="F15" s="144"/>
    </row>
    <row r="16" spans="1:6" ht="15" x14ac:dyDescent="0.25">
      <c r="A16" s="162"/>
      <c r="B16" s="145"/>
      <c r="C16" s="144"/>
      <c r="D16" s="162"/>
      <c r="E16" s="166" t="s">
        <v>311</v>
      </c>
      <c r="F16" s="167">
        <f>SUM(F6:F14)</f>
        <v>4664.66</v>
      </c>
    </row>
  </sheetData>
  <mergeCells count="2">
    <mergeCell ref="A1:F1"/>
    <mergeCell ref="B3:F3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view="pageBreakPreview" zoomScaleNormal="73" zoomScaleSheetLayoutView="100" workbookViewId="0">
      <selection activeCell="B12" sqref="B12"/>
    </sheetView>
  </sheetViews>
  <sheetFormatPr defaultRowHeight="12.75" x14ac:dyDescent="0.2"/>
  <cols>
    <col min="1" max="1" width="14" style="143" customWidth="1"/>
    <col min="2" max="2" width="54.85546875" style="143" customWidth="1"/>
    <col min="3" max="3" width="7" style="143" customWidth="1"/>
    <col min="4" max="4" width="10" style="143" customWidth="1"/>
    <col min="5" max="5" width="11.140625" style="143" customWidth="1"/>
    <col min="6" max="6" width="11" style="143" customWidth="1"/>
    <col min="7" max="16384" width="9.140625" style="143"/>
  </cols>
  <sheetData>
    <row r="1" spans="1:20" ht="18.75" x14ac:dyDescent="0.2">
      <c r="A1" s="447" t="s">
        <v>80</v>
      </c>
      <c r="B1" s="447"/>
      <c r="C1" s="447"/>
      <c r="D1" s="447"/>
      <c r="E1" s="447"/>
      <c r="F1" s="447"/>
      <c r="L1" s="454"/>
      <c r="M1" s="454"/>
      <c r="N1" s="454"/>
      <c r="O1" s="454"/>
      <c r="P1" s="454"/>
      <c r="Q1" s="454"/>
      <c r="R1" s="227"/>
      <c r="S1" s="227"/>
      <c r="T1" s="228"/>
    </row>
    <row r="2" spans="1:20" ht="15" x14ac:dyDescent="0.2">
      <c r="A2" s="175"/>
      <c r="B2" s="175"/>
      <c r="C2" s="175"/>
      <c r="D2" s="175"/>
      <c r="E2" s="175"/>
      <c r="F2" s="175"/>
      <c r="L2" s="229"/>
      <c r="M2" s="230"/>
      <c r="N2" s="231"/>
      <c r="O2" s="231"/>
      <c r="P2" s="232"/>
      <c r="Q2" s="231"/>
      <c r="R2" s="231"/>
      <c r="S2" s="233"/>
      <c r="T2" s="228"/>
    </row>
    <row r="3" spans="1:20" ht="15" x14ac:dyDescent="0.2">
      <c r="A3" s="176" t="s">
        <v>636</v>
      </c>
      <c r="B3" s="448" t="s">
        <v>80</v>
      </c>
      <c r="C3" s="448"/>
      <c r="D3" s="448"/>
      <c r="E3" s="448"/>
      <c r="F3" s="448"/>
      <c r="L3" s="234"/>
      <c r="M3" s="235"/>
      <c r="N3" s="236"/>
      <c r="O3" s="237"/>
      <c r="P3" s="238"/>
      <c r="Q3" s="239"/>
      <c r="R3" s="240"/>
      <c r="S3" s="241"/>
      <c r="T3" s="228"/>
    </row>
    <row r="4" spans="1:20" ht="15" x14ac:dyDescent="0.25">
      <c r="A4" s="144"/>
      <c r="B4" s="145"/>
      <c r="C4" s="144"/>
      <c r="D4" s="144"/>
      <c r="E4" s="144"/>
      <c r="F4" s="144"/>
      <c r="L4" s="234"/>
      <c r="M4" s="235"/>
      <c r="N4" s="236"/>
      <c r="O4" s="239"/>
      <c r="P4" s="238"/>
      <c r="Q4" s="239"/>
      <c r="R4" s="240"/>
      <c r="S4" s="242"/>
      <c r="T4" s="228"/>
    </row>
    <row r="5" spans="1:20" ht="14.25" x14ac:dyDescent="0.2">
      <c r="A5" s="147" t="s">
        <v>306</v>
      </c>
      <c r="B5" s="148" t="s">
        <v>307</v>
      </c>
      <c r="C5" s="148" t="s">
        <v>308</v>
      </c>
      <c r="D5" s="148" t="s">
        <v>309</v>
      </c>
      <c r="E5" s="148" t="s">
        <v>310</v>
      </c>
      <c r="F5" s="148" t="s">
        <v>311</v>
      </c>
      <c r="L5" s="234"/>
      <c r="M5" s="235"/>
      <c r="N5" s="243"/>
      <c r="O5" s="239"/>
      <c r="P5" s="238"/>
      <c r="Q5" s="239"/>
      <c r="R5" s="240"/>
      <c r="S5" s="242"/>
      <c r="T5" s="228"/>
    </row>
    <row r="6" spans="1:20" ht="30" x14ac:dyDescent="0.2">
      <c r="A6" s="163" t="s">
        <v>637</v>
      </c>
      <c r="B6" s="221" t="s">
        <v>638</v>
      </c>
      <c r="C6" s="213" t="s">
        <v>27</v>
      </c>
      <c r="D6" s="215">
        <v>1</v>
      </c>
      <c r="E6" s="213">
        <f>ROUND(23.47*1.2619,2)</f>
        <v>29.62</v>
      </c>
      <c r="F6" s="213">
        <f>ROUND(D6*E6,2)</f>
        <v>29.62</v>
      </c>
      <c r="I6" s="174"/>
      <c r="L6" s="234"/>
      <c r="M6" s="235"/>
      <c r="N6" s="243"/>
      <c r="O6" s="239"/>
      <c r="P6" s="238"/>
      <c r="Q6" s="239"/>
      <c r="R6" s="240"/>
      <c r="S6" s="242"/>
      <c r="T6" s="228"/>
    </row>
    <row r="7" spans="1:20" ht="31.5" customHeight="1" x14ac:dyDescent="0.2">
      <c r="A7" s="163" t="s">
        <v>639</v>
      </c>
      <c r="B7" s="221" t="s">
        <v>480</v>
      </c>
      <c r="C7" s="213" t="s">
        <v>27</v>
      </c>
      <c r="D7" s="215">
        <v>6</v>
      </c>
      <c r="E7" s="213">
        <f>ROUND(53.38*1.2619,2)</f>
        <v>67.36</v>
      </c>
      <c r="F7" s="213">
        <f t="shared" ref="F7:F12" si="0">ROUND(D7*E7,2)</f>
        <v>404.16</v>
      </c>
      <c r="I7" s="174"/>
      <c r="L7" s="234"/>
      <c r="M7" s="235"/>
      <c r="N7" s="236"/>
      <c r="O7" s="239"/>
      <c r="P7" s="238"/>
      <c r="Q7" s="239"/>
      <c r="R7" s="240"/>
      <c r="S7" s="242"/>
      <c r="T7" s="228"/>
    </row>
    <row r="8" spans="1:20" ht="30" x14ac:dyDescent="0.2">
      <c r="A8" s="163" t="s">
        <v>544</v>
      </c>
      <c r="B8" s="221" t="s">
        <v>545</v>
      </c>
      <c r="C8" s="213" t="s">
        <v>120</v>
      </c>
      <c r="D8" s="215">
        <v>2</v>
      </c>
      <c r="E8" s="213">
        <f>ROUND(20.86*1.2619,2)</f>
        <v>26.32</v>
      </c>
      <c r="F8" s="213">
        <f t="shared" si="0"/>
        <v>52.64</v>
      </c>
      <c r="I8" s="174"/>
      <c r="L8" s="234"/>
      <c r="M8" s="235"/>
      <c r="N8" s="243"/>
      <c r="O8" s="239"/>
      <c r="P8" s="238"/>
      <c r="Q8" s="239"/>
      <c r="R8" s="240"/>
      <c r="S8" s="242"/>
      <c r="T8" s="228"/>
    </row>
    <row r="9" spans="1:20" ht="31.5" customHeight="1" x14ac:dyDescent="0.2">
      <c r="A9" s="163" t="s">
        <v>640</v>
      </c>
      <c r="B9" s="221" t="s">
        <v>641</v>
      </c>
      <c r="C9" s="213" t="s">
        <v>120</v>
      </c>
      <c r="D9" s="215">
        <v>1</v>
      </c>
      <c r="E9" s="213">
        <f>ROUND(144*1.2619,2)</f>
        <v>181.71</v>
      </c>
      <c r="F9" s="213">
        <f t="shared" si="0"/>
        <v>181.71</v>
      </c>
      <c r="I9" s="174"/>
      <c r="L9" s="229"/>
      <c r="M9" s="230"/>
      <c r="N9" s="245"/>
      <c r="O9" s="246"/>
      <c r="P9" s="247"/>
      <c r="Q9" s="247"/>
      <c r="R9" s="248"/>
      <c r="S9" s="248"/>
      <c r="T9" s="228"/>
    </row>
    <row r="10" spans="1:20" ht="15" x14ac:dyDescent="0.2">
      <c r="A10" s="213" t="s">
        <v>158</v>
      </c>
      <c r="B10" s="221" t="s">
        <v>642</v>
      </c>
      <c r="C10" s="213" t="s">
        <v>120</v>
      </c>
      <c r="D10" s="215">
        <v>2</v>
      </c>
      <c r="E10" s="215">
        <v>165</v>
      </c>
      <c r="F10" s="213">
        <f t="shared" si="0"/>
        <v>330</v>
      </c>
      <c r="L10" s="282"/>
      <c r="M10" s="251"/>
      <c r="N10" s="249"/>
      <c r="O10" s="250"/>
      <c r="P10" s="250"/>
      <c r="Q10" s="250"/>
      <c r="R10" s="240"/>
      <c r="S10" s="241"/>
      <c r="T10" s="228"/>
    </row>
    <row r="11" spans="1:20" ht="30" x14ac:dyDescent="0.2">
      <c r="A11" s="163" t="s">
        <v>538</v>
      </c>
      <c r="B11" s="221" t="s">
        <v>643</v>
      </c>
      <c r="C11" s="213" t="s">
        <v>644</v>
      </c>
      <c r="D11" s="215">
        <v>2</v>
      </c>
      <c r="E11" s="213">
        <f>ROUND(203.08*1.2619,2)</f>
        <v>256.27</v>
      </c>
      <c r="F11" s="213">
        <f t="shared" si="0"/>
        <v>512.54</v>
      </c>
      <c r="I11" s="174"/>
      <c r="L11" s="282"/>
      <c r="M11" s="251"/>
      <c r="N11" s="252"/>
      <c r="O11" s="255"/>
      <c r="P11" s="250"/>
      <c r="Q11" s="254"/>
      <c r="R11" s="240"/>
      <c r="S11" s="240"/>
      <c r="T11" s="228"/>
    </row>
    <row r="12" spans="1:20" ht="22.5" customHeight="1" x14ac:dyDescent="0.2">
      <c r="A12" s="163" t="s">
        <v>546</v>
      </c>
      <c r="B12" s="221" t="s">
        <v>547</v>
      </c>
      <c r="C12" s="213" t="s">
        <v>348</v>
      </c>
      <c r="D12" s="222">
        <v>4</v>
      </c>
      <c r="E12" s="213">
        <f>ROUND(8.81*1.2619,2)</f>
        <v>11.12</v>
      </c>
      <c r="F12" s="213">
        <f t="shared" si="0"/>
        <v>44.48</v>
      </c>
      <c r="L12" s="282"/>
      <c r="M12" s="251"/>
      <c r="N12" s="252"/>
      <c r="O12" s="255"/>
      <c r="P12" s="250"/>
      <c r="Q12" s="254"/>
      <c r="R12" s="240"/>
      <c r="S12" s="240"/>
      <c r="T12" s="228"/>
    </row>
    <row r="13" spans="1:20" ht="30" x14ac:dyDescent="0.2">
      <c r="A13" s="163" t="s">
        <v>415</v>
      </c>
      <c r="B13" s="221" t="s">
        <v>416</v>
      </c>
      <c r="C13" s="213" t="s">
        <v>348</v>
      </c>
      <c r="D13" s="222">
        <v>4</v>
      </c>
      <c r="E13" s="213">
        <f>ROUND(10.23*1.2619,2)</f>
        <v>12.91</v>
      </c>
      <c r="F13" s="213">
        <f>ROUND(D13*E13,2)</f>
        <v>51.64</v>
      </c>
      <c r="L13" s="282"/>
      <c r="M13" s="251"/>
      <c r="N13" s="252"/>
      <c r="O13" s="255"/>
      <c r="P13" s="250"/>
      <c r="Q13" s="254"/>
      <c r="R13" s="240"/>
      <c r="S13" s="240"/>
      <c r="T13" s="228"/>
    </row>
    <row r="14" spans="1:20" ht="15" x14ac:dyDescent="0.25">
      <c r="A14" s="144"/>
      <c r="B14" s="144"/>
      <c r="C14" s="144"/>
      <c r="D14" s="165"/>
      <c r="E14" s="144"/>
      <c r="F14" s="144"/>
      <c r="L14" s="282"/>
      <c r="M14" s="251"/>
      <c r="N14" s="236"/>
      <c r="O14" s="253"/>
      <c r="P14" s="239"/>
      <c r="Q14" s="258"/>
      <c r="R14" s="240"/>
      <c r="S14" s="241"/>
      <c r="T14" s="228"/>
    </row>
    <row r="15" spans="1:20" ht="15" x14ac:dyDescent="0.25">
      <c r="A15" s="144"/>
      <c r="B15" s="144"/>
      <c r="C15" s="144"/>
      <c r="D15" s="144"/>
      <c r="E15" s="166" t="s">
        <v>311</v>
      </c>
      <c r="F15" s="259">
        <f>SUM(F6:F13)</f>
        <v>1606.7900000000002</v>
      </c>
    </row>
  </sheetData>
  <mergeCells count="3">
    <mergeCell ref="A1:F1"/>
    <mergeCell ref="L1:Q1"/>
    <mergeCell ref="B3:F3"/>
  </mergeCells>
  <pageMargins left="0.51181102362204722" right="0.51181102362204722" top="0.78740157480314965" bottom="0.78740157480314965" header="0.31496062992125984" footer="0.31496062992125984"/>
  <pageSetup paperSize="9" scale="85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showGridLines="0" view="pageBreakPreview" topLeftCell="A40" zoomScaleNormal="85" zoomScaleSheetLayoutView="100" workbookViewId="0">
      <selection activeCell="G20" sqref="G20"/>
    </sheetView>
  </sheetViews>
  <sheetFormatPr defaultRowHeight="12.75" x14ac:dyDescent="0.2"/>
  <cols>
    <col min="1" max="1" width="13.42578125" style="285" customWidth="1"/>
    <col min="2" max="2" width="51.7109375" style="285" customWidth="1"/>
    <col min="3" max="3" width="10.42578125" style="314" customWidth="1"/>
    <col min="4" max="4" width="8.140625" style="314" customWidth="1"/>
    <col min="5" max="5" width="9.42578125" style="314" customWidth="1"/>
    <col min="6" max="6" width="10.28515625" style="314" customWidth="1"/>
    <col min="7" max="7" width="61" style="285" bestFit="1" customWidth="1"/>
    <col min="8" max="16384" width="9.140625" style="285"/>
  </cols>
  <sheetData>
    <row r="1" spans="1:12" s="283" customFormat="1" ht="18.75" customHeight="1" x14ac:dyDescent="0.2">
      <c r="A1" s="457" t="s">
        <v>645</v>
      </c>
      <c r="B1" s="457"/>
      <c r="C1" s="457"/>
      <c r="D1" s="457"/>
      <c r="E1" s="457"/>
      <c r="F1" s="182"/>
    </row>
    <row r="2" spans="1:12" s="283" customFormat="1" ht="15" customHeight="1" x14ac:dyDescent="0.2">
      <c r="A2" s="157"/>
      <c r="B2" s="157"/>
      <c r="C2" s="175"/>
      <c r="D2" s="182"/>
      <c r="E2" s="182"/>
      <c r="F2" s="182"/>
    </row>
    <row r="3" spans="1:12" ht="72" customHeight="1" x14ac:dyDescent="0.2">
      <c r="A3" s="284" t="s">
        <v>646</v>
      </c>
      <c r="B3" s="448" t="s">
        <v>647</v>
      </c>
      <c r="C3" s="448"/>
      <c r="D3" s="448"/>
      <c r="E3" s="448"/>
      <c r="F3" s="448"/>
    </row>
    <row r="4" spans="1:12" ht="12" customHeight="1" x14ac:dyDescent="0.2">
      <c r="A4" s="157"/>
      <c r="B4" s="163"/>
      <c r="C4" s="182"/>
      <c r="D4" s="182"/>
      <c r="E4" s="182"/>
      <c r="F4" s="182"/>
    </row>
    <row r="5" spans="1:12" s="283" customFormat="1" ht="15.95" customHeight="1" x14ac:dyDescent="0.2">
      <c r="A5" s="147" t="s">
        <v>306</v>
      </c>
      <c r="B5" s="148" t="s">
        <v>307</v>
      </c>
      <c r="C5" s="148" t="s">
        <v>308</v>
      </c>
      <c r="D5" s="148" t="s">
        <v>309</v>
      </c>
      <c r="E5" s="148" t="s">
        <v>310</v>
      </c>
      <c r="F5" s="148" t="s">
        <v>311</v>
      </c>
    </row>
    <row r="6" spans="1:12" ht="15" x14ac:dyDescent="0.2">
      <c r="A6" s="163" t="s">
        <v>648</v>
      </c>
      <c r="B6" s="164" t="s">
        <v>649</v>
      </c>
      <c r="C6" s="182" t="s">
        <v>27</v>
      </c>
      <c r="D6" s="183">
        <v>0.5</v>
      </c>
      <c r="E6" s="182">
        <f>ROUND((13.08/1.309)*1.2619,2)</f>
        <v>12.61</v>
      </c>
      <c r="F6" s="286">
        <f>ROUND(D6*E6,2)</f>
        <v>6.31</v>
      </c>
    </row>
    <row r="7" spans="1:12" ht="30" x14ac:dyDescent="0.2">
      <c r="A7" s="163" t="s">
        <v>479</v>
      </c>
      <c r="B7" s="164" t="s">
        <v>650</v>
      </c>
      <c r="C7" s="182" t="s">
        <v>27</v>
      </c>
      <c r="D7" s="183">
        <v>36</v>
      </c>
      <c r="E7" s="182">
        <f>ROUND(53.38*1.2619,2)</f>
        <v>67.36</v>
      </c>
      <c r="F7" s="286">
        <f>D7*E7</f>
        <v>2424.96</v>
      </c>
    </row>
    <row r="8" spans="1:12" ht="15" x14ac:dyDescent="0.2">
      <c r="A8" s="163" t="s">
        <v>651</v>
      </c>
      <c r="B8" s="164" t="s">
        <v>652</v>
      </c>
      <c r="C8" s="182" t="s">
        <v>27</v>
      </c>
      <c r="D8" s="183">
        <v>3</v>
      </c>
      <c r="E8" s="182">
        <f>ROUND((40.95/1.309)*1.2619,2)</f>
        <v>39.479999999999997</v>
      </c>
      <c r="F8" s="286">
        <f>D8*E8</f>
        <v>118.44</v>
      </c>
    </row>
    <row r="9" spans="1:12" ht="30" x14ac:dyDescent="0.2">
      <c r="A9" s="287" t="s">
        <v>354</v>
      </c>
      <c r="B9" s="164" t="s">
        <v>355</v>
      </c>
      <c r="C9" s="288" t="s">
        <v>331</v>
      </c>
      <c r="D9" s="289">
        <v>1</v>
      </c>
      <c r="E9" s="182">
        <f>ROUND(13.97*1.2619,2)</f>
        <v>17.63</v>
      </c>
      <c r="F9" s="286">
        <f>D9*E9</f>
        <v>17.63</v>
      </c>
    </row>
    <row r="10" spans="1:12" ht="31.5" customHeight="1" x14ac:dyDescent="0.2">
      <c r="A10" s="163" t="s">
        <v>482</v>
      </c>
      <c r="B10" s="290" t="s">
        <v>653</v>
      </c>
      <c r="C10" s="182" t="s">
        <v>331</v>
      </c>
      <c r="D10" s="183">
        <v>2</v>
      </c>
      <c r="E10" s="182">
        <f>ROUND(112.86*1.2619,2)</f>
        <v>142.41999999999999</v>
      </c>
      <c r="F10" s="286">
        <f>D10*E10</f>
        <v>284.83999999999997</v>
      </c>
    </row>
    <row r="11" spans="1:12" s="291" customFormat="1" ht="15" x14ac:dyDescent="0.2">
      <c r="A11" s="163" t="s">
        <v>654</v>
      </c>
      <c r="B11" s="164" t="s">
        <v>655</v>
      </c>
      <c r="C11" s="182" t="s">
        <v>331</v>
      </c>
      <c r="D11" s="183">
        <v>1</v>
      </c>
      <c r="E11" s="182">
        <f>ROUND(11.51*1.2619,2)</f>
        <v>14.52</v>
      </c>
      <c r="F11" s="286">
        <f>D11*E11</f>
        <v>14.52</v>
      </c>
      <c r="L11" s="285"/>
    </row>
    <row r="12" spans="1:12" s="283" customFormat="1" ht="30" x14ac:dyDescent="0.2">
      <c r="A12" s="163" t="s">
        <v>656</v>
      </c>
      <c r="B12" s="208" t="s">
        <v>657</v>
      </c>
      <c r="C12" s="182" t="s">
        <v>331</v>
      </c>
      <c r="D12" s="183">
        <v>2</v>
      </c>
      <c r="E12" s="182">
        <f>ROUND(8.04*1.2619,2)</f>
        <v>10.15</v>
      </c>
      <c r="F12" s="286">
        <f t="shared" ref="F12:F20" si="0">D12*E12</f>
        <v>20.3</v>
      </c>
      <c r="L12" s="285"/>
    </row>
    <row r="13" spans="1:12" s="283" customFormat="1" ht="30" x14ac:dyDescent="0.2">
      <c r="A13" s="163" t="s">
        <v>475</v>
      </c>
      <c r="B13" s="208" t="s">
        <v>476</v>
      </c>
      <c r="C13" s="182" t="s">
        <v>331</v>
      </c>
      <c r="D13" s="183">
        <v>1</v>
      </c>
      <c r="E13" s="182">
        <f>ROUND(33.6*1.2619,2)</f>
        <v>42.4</v>
      </c>
      <c r="F13" s="286">
        <f t="shared" si="0"/>
        <v>42.4</v>
      </c>
      <c r="L13" s="285"/>
    </row>
    <row r="14" spans="1:12" s="283" customFormat="1" ht="30" x14ac:dyDescent="0.2">
      <c r="A14" s="163" t="s">
        <v>658</v>
      </c>
      <c r="B14" s="164" t="s">
        <v>659</v>
      </c>
      <c r="C14" s="182" t="s">
        <v>331</v>
      </c>
      <c r="D14" s="183">
        <v>5</v>
      </c>
      <c r="E14" s="182">
        <f>ROUND(131.65*1.2619,2)</f>
        <v>166.13</v>
      </c>
      <c r="F14" s="286">
        <f t="shared" si="0"/>
        <v>830.65</v>
      </c>
      <c r="L14" s="285"/>
    </row>
    <row r="15" spans="1:12" s="144" customFormat="1" ht="30" x14ac:dyDescent="0.25">
      <c r="A15" s="163" t="s">
        <v>640</v>
      </c>
      <c r="B15" s="164" t="s">
        <v>641</v>
      </c>
      <c r="C15" s="182" t="s">
        <v>331</v>
      </c>
      <c r="D15" s="183">
        <v>5</v>
      </c>
      <c r="E15" s="182">
        <f>ROUND(144*1.2619,2)</f>
        <v>181.71</v>
      </c>
      <c r="F15" s="286">
        <f t="shared" si="0"/>
        <v>908.55000000000007</v>
      </c>
      <c r="L15" s="285"/>
    </row>
    <row r="16" spans="1:12" ht="15" x14ac:dyDescent="0.2">
      <c r="A16" s="163" t="s">
        <v>484</v>
      </c>
      <c r="B16" s="164" t="s">
        <v>485</v>
      </c>
      <c r="C16" s="182" t="s">
        <v>331</v>
      </c>
      <c r="D16" s="183">
        <v>1</v>
      </c>
      <c r="E16" s="182">
        <f>ROUND(183.4*1.2619,2)</f>
        <v>231.43</v>
      </c>
      <c r="F16" s="286">
        <f t="shared" si="0"/>
        <v>231.43</v>
      </c>
    </row>
    <row r="17" spans="1:12" ht="36" customHeight="1" x14ac:dyDescent="0.2">
      <c r="A17" s="163" t="s">
        <v>489</v>
      </c>
      <c r="B17" s="290" t="s">
        <v>660</v>
      </c>
      <c r="C17" s="182" t="s">
        <v>331</v>
      </c>
      <c r="D17" s="183">
        <v>2</v>
      </c>
      <c r="E17" s="182">
        <f>ROUND(423.14*1.2619,2)</f>
        <v>533.96</v>
      </c>
      <c r="F17" s="286">
        <f t="shared" si="0"/>
        <v>1067.92</v>
      </c>
    </row>
    <row r="18" spans="1:12" ht="30" x14ac:dyDescent="0.2">
      <c r="A18" s="163" t="s">
        <v>404</v>
      </c>
      <c r="B18" s="164" t="s">
        <v>405</v>
      </c>
      <c r="C18" s="182" t="s">
        <v>331</v>
      </c>
      <c r="D18" s="183">
        <v>1</v>
      </c>
      <c r="E18" s="182">
        <f>ROUND(80.88*1.2619,2)</f>
        <v>102.06</v>
      </c>
      <c r="F18" s="286">
        <f t="shared" si="0"/>
        <v>102.06</v>
      </c>
    </row>
    <row r="19" spans="1:12" ht="30" x14ac:dyDescent="0.2">
      <c r="A19" s="163" t="s">
        <v>661</v>
      </c>
      <c r="B19" s="164" t="s">
        <v>662</v>
      </c>
      <c r="C19" s="182" t="s">
        <v>331</v>
      </c>
      <c r="D19" s="183">
        <v>1</v>
      </c>
      <c r="E19" s="182">
        <f>ROUND(33.42*1.2619,2)</f>
        <v>42.17</v>
      </c>
      <c r="F19" s="286">
        <f t="shared" si="0"/>
        <v>42.17</v>
      </c>
    </row>
    <row r="20" spans="1:12" ht="15" x14ac:dyDescent="0.2">
      <c r="A20" s="287"/>
      <c r="B20" s="160" t="s">
        <v>663</v>
      </c>
      <c r="C20" s="288" t="s">
        <v>331</v>
      </c>
      <c r="D20" s="289">
        <v>1</v>
      </c>
      <c r="E20" s="182">
        <v>350</v>
      </c>
      <c r="F20" s="286">
        <f t="shared" si="0"/>
        <v>350</v>
      </c>
    </row>
    <row r="21" spans="1:12" s="292" customFormat="1" ht="15" x14ac:dyDescent="0.2">
      <c r="B21" s="293"/>
      <c r="C21" s="288"/>
      <c r="D21" s="456" t="s">
        <v>448</v>
      </c>
      <c r="E21" s="456"/>
      <c r="F21" s="295">
        <f>SUM(F6:F20)</f>
        <v>6462.1800000000012</v>
      </c>
    </row>
    <row r="22" spans="1:12" ht="15" x14ac:dyDescent="0.2">
      <c r="A22" s="287"/>
      <c r="B22" s="293"/>
      <c r="C22" s="288"/>
      <c r="D22" s="289"/>
      <c r="E22" s="182"/>
      <c r="F22" s="182"/>
    </row>
    <row r="23" spans="1:12" ht="31.5" customHeight="1" x14ac:dyDescent="0.2">
      <c r="A23" s="458" t="s">
        <v>664</v>
      </c>
      <c r="B23" s="458"/>
      <c r="C23" s="458"/>
      <c r="D23" s="458"/>
      <c r="E23" s="458"/>
      <c r="F23" s="458"/>
    </row>
    <row r="24" spans="1:12" s="291" customFormat="1" ht="14.25" x14ac:dyDescent="0.2">
      <c r="A24" s="147" t="s">
        <v>306</v>
      </c>
      <c r="B24" s="148" t="s">
        <v>307</v>
      </c>
      <c r="C24" s="148" t="s">
        <v>308</v>
      </c>
      <c r="D24" s="148" t="s">
        <v>309</v>
      </c>
      <c r="E24" s="148" t="s">
        <v>310</v>
      </c>
      <c r="F24" s="148" t="s">
        <v>311</v>
      </c>
    </row>
    <row r="25" spans="1:12" ht="15" x14ac:dyDescent="0.2">
      <c r="A25" s="163" t="s">
        <v>665</v>
      </c>
      <c r="B25" s="164" t="s">
        <v>125</v>
      </c>
      <c r="C25" s="182" t="s">
        <v>29</v>
      </c>
      <c r="D25" s="183">
        <v>0.95</v>
      </c>
      <c r="E25" s="286">
        <v>9.85</v>
      </c>
      <c r="F25" s="286">
        <f>ROUND(D25*E25,2)</f>
        <v>9.36</v>
      </c>
      <c r="G25" s="296"/>
      <c r="H25" s="297"/>
      <c r="I25" s="298"/>
      <c r="J25" s="299"/>
      <c r="K25" s="300"/>
      <c r="L25" s="301"/>
    </row>
    <row r="26" spans="1:12" ht="15" x14ac:dyDescent="0.2">
      <c r="A26" s="163" t="s">
        <v>666</v>
      </c>
      <c r="B26" s="164" t="s">
        <v>313</v>
      </c>
      <c r="C26" s="182" t="s">
        <v>314</v>
      </c>
      <c r="D26" s="183">
        <v>2.13</v>
      </c>
      <c r="E26" s="286">
        <v>9.94</v>
      </c>
      <c r="F26" s="286">
        <f t="shared" ref="F26:F34" si="1">ROUND(D26*E26,2)</f>
        <v>21.17</v>
      </c>
      <c r="G26" s="302"/>
      <c r="H26" s="303"/>
      <c r="I26" s="304"/>
      <c r="J26" s="305"/>
      <c r="K26" s="305"/>
      <c r="L26" s="301"/>
    </row>
    <row r="27" spans="1:12" ht="15" x14ac:dyDescent="0.2">
      <c r="A27" s="163" t="s">
        <v>315</v>
      </c>
      <c r="B27" s="164" t="s">
        <v>667</v>
      </c>
      <c r="C27" s="182" t="s">
        <v>29</v>
      </c>
      <c r="D27" s="183">
        <v>0.13</v>
      </c>
      <c r="E27" s="286">
        <v>492.8</v>
      </c>
      <c r="F27" s="286">
        <f t="shared" si="1"/>
        <v>64.06</v>
      </c>
      <c r="G27" s="296"/>
      <c r="H27" s="297"/>
      <c r="I27" s="304"/>
      <c r="J27" s="306"/>
      <c r="K27" s="301"/>
      <c r="L27" s="301"/>
    </row>
    <row r="28" spans="1:12" ht="30" x14ac:dyDescent="0.2">
      <c r="A28" s="163" t="s">
        <v>316</v>
      </c>
      <c r="B28" s="164" t="s">
        <v>668</v>
      </c>
      <c r="C28" s="182" t="s">
        <v>30</v>
      </c>
      <c r="D28" s="183">
        <v>2.16</v>
      </c>
      <c r="E28" s="286">
        <v>54.41</v>
      </c>
      <c r="F28" s="286">
        <f t="shared" si="1"/>
        <v>117.53</v>
      </c>
      <c r="G28" s="302"/>
      <c r="H28" s="304"/>
      <c r="I28" s="305"/>
      <c r="J28" s="305"/>
      <c r="K28" s="305"/>
      <c r="L28" s="307"/>
    </row>
    <row r="29" spans="1:12" ht="15" x14ac:dyDescent="0.2">
      <c r="A29" s="163" t="s">
        <v>669</v>
      </c>
      <c r="B29" s="164" t="s">
        <v>670</v>
      </c>
      <c r="C29" s="182" t="s">
        <v>30</v>
      </c>
      <c r="D29" s="183">
        <v>2</v>
      </c>
      <c r="E29" s="286">
        <v>29.87</v>
      </c>
      <c r="F29" s="286">
        <f t="shared" si="1"/>
        <v>59.74</v>
      </c>
      <c r="G29" s="308"/>
      <c r="H29" s="309"/>
      <c r="I29" s="304"/>
      <c r="J29" s="309"/>
      <c r="K29" s="310"/>
      <c r="L29" s="307"/>
    </row>
    <row r="30" spans="1:12" ht="15" x14ac:dyDescent="0.2">
      <c r="A30" s="163" t="s">
        <v>320</v>
      </c>
      <c r="B30" s="164" t="s">
        <v>671</v>
      </c>
      <c r="C30" s="182" t="s">
        <v>30</v>
      </c>
      <c r="D30" s="183">
        <v>2</v>
      </c>
      <c r="E30" s="286">
        <v>5.98</v>
      </c>
      <c r="F30" s="286">
        <f t="shared" si="1"/>
        <v>11.96</v>
      </c>
      <c r="G30" s="308"/>
      <c r="H30" s="309"/>
      <c r="I30" s="311"/>
      <c r="J30" s="309"/>
      <c r="K30" s="310"/>
      <c r="L30" s="307"/>
    </row>
    <row r="31" spans="1:12" ht="30" x14ac:dyDescent="0.2">
      <c r="A31" s="163" t="s">
        <v>322</v>
      </c>
      <c r="B31" s="164" t="s">
        <v>672</v>
      </c>
      <c r="C31" s="182" t="s">
        <v>30</v>
      </c>
      <c r="D31" s="183">
        <v>0.03</v>
      </c>
      <c r="E31" s="286">
        <v>15.93</v>
      </c>
      <c r="F31" s="286">
        <f t="shared" si="1"/>
        <v>0.48</v>
      </c>
      <c r="G31" s="305"/>
      <c r="H31" s="305"/>
      <c r="I31" s="305"/>
      <c r="J31" s="305"/>
      <c r="K31" s="305"/>
      <c r="L31" s="305"/>
    </row>
    <row r="32" spans="1:12" ht="30" x14ac:dyDescent="0.2">
      <c r="A32" s="287" t="s">
        <v>673</v>
      </c>
      <c r="B32" s="312" t="s">
        <v>674</v>
      </c>
      <c r="C32" s="288" t="s">
        <v>29</v>
      </c>
      <c r="D32" s="289">
        <v>2.4</v>
      </c>
      <c r="E32" s="286">
        <v>66.44</v>
      </c>
      <c r="F32" s="286">
        <f t="shared" si="1"/>
        <v>159.46</v>
      </c>
      <c r="G32" s="305"/>
      <c r="H32" s="305"/>
      <c r="I32" s="305"/>
      <c r="J32" s="305"/>
      <c r="K32" s="305"/>
      <c r="L32" s="305"/>
    </row>
    <row r="33" spans="1:12" ht="30" x14ac:dyDescent="0.2">
      <c r="A33" s="287" t="s">
        <v>675</v>
      </c>
      <c r="B33" s="312" t="s">
        <v>676</v>
      </c>
      <c r="C33" s="288" t="s">
        <v>29</v>
      </c>
      <c r="D33" s="289">
        <v>2.4</v>
      </c>
      <c r="E33" s="286">
        <v>7.55</v>
      </c>
      <c r="F33" s="286">
        <f t="shared" si="1"/>
        <v>18.12</v>
      </c>
      <c r="G33" s="305"/>
      <c r="H33" s="305"/>
      <c r="I33" s="305"/>
      <c r="J33" s="305"/>
      <c r="K33" s="305"/>
      <c r="L33" s="305"/>
    </row>
    <row r="34" spans="1:12" ht="21.75" customHeight="1" x14ac:dyDescent="0.2">
      <c r="A34" s="287" t="s">
        <v>677</v>
      </c>
      <c r="B34" s="312" t="s">
        <v>678</v>
      </c>
      <c r="C34" s="288" t="s">
        <v>27</v>
      </c>
      <c r="D34" s="289">
        <v>36</v>
      </c>
      <c r="E34" s="286">
        <v>5.0999999999999996</v>
      </c>
      <c r="F34" s="286">
        <f t="shared" si="1"/>
        <v>183.6</v>
      </c>
      <c r="G34" s="305"/>
      <c r="H34" s="305"/>
      <c r="I34" s="305"/>
      <c r="J34" s="305"/>
      <c r="K34" s="305"/>
      <c r="L34" s="305"/>
    </row>
    <row r="35" spans="1:12" ht="21.75" customHeight="1" x14ac:dyDescent="0.2">
      <c r="A35" s="287"/>
      <c r="B35" s="312"/>
      <c r="C35" s="288"/>
      <c r="D35" s="456" t="s">
        <v>448</v>
      </c>
      <c r="E35" s="456"/>
      <c r="F35" s="295">
        <f>SUM(F25:F34)</f>
        <v>645.48</v>
      </c>
      <c r="G35" s="305"/>
      <c r="H35" s="305"/>
      <c r="I35" s="305"/>
      <c r="J35" s="305"/>
      <c r="K35" s="305"/>
      <c r="L35" s="305"/>
    </row>
    <row r="36" spans="1:12" ht="21.75" customHeight="1" x14ac:dyDescent="0.2">
      <c r="A36" s="287"/>
      <c r="B36" s="312"/>
      <c r="C36" s="288"/>
      <c r="D36" s="294"/>
      <c r="E36" s="294"/>
      <c r="F36" s="295"/>
      <c r="G36" s="305"/>
      <c r="H36" s="305"/>
      <c r="I36" s="305"/>
      <c r="J36" s="305"/>
      <c r="K36" s="305"/>
      <c r="L36" s="305"/>
    </row>
    <row r="37" spans="1:12" ht="15" x14ac:dyDescent="0.2">
      <c r="A37" s="459" t="s">
        <v>679</v>
      </c>
      <c r="B37" s="459"/>
      <c r="C37" s="459"/>
      <c r="D37" s="459"/>
      <c r="E37" s="459"/>
      <c r="F37" s="182"/>
    </row>
    <row r="38" spans="1:12" s="291" customFormat="1" ht="14.25" x14ac:dyDescent="0.2">
      <c r="A38" s="147" t="s">
        <v>306</v>
      </c>
      <c r="B38" s="148" t="s">
        <v>307</v>
      </c>
      <c r="C38" s="148" t="s">
        <v>308</v>
      </c>
      <c r="D38" s="148" t="s">
        <v>309</v>
      </c>
      <c r="E38" s="148" t="s">
        <v>310</v>
      </c>
      <c r="F38" s="148" t="s">
        <v>311</v>
      </c>
    </row>
    <row r="39" spans="1:12" ht="15" x14ac:dyDescent="0.2">
      <c r="A39" s="287" t="s">
        <v>680</v>
      </c>
      <c r="B39" s="157" t="s">
        <v>681</v>
      </c>
      <c r="C39" s="288" t="s">
        <v>29</v>
      </c>
      <c r="D39" s="289">
        <v>1.1000000000000001</v>
      </c>
      <c r="E39" s="286">
        <v>1301.73</v>
      </c>
      <c r="F39" s="286">
        <f t="shared" ref="F39:F49" si="2">ROUND(D39*E39,2)</f>
        <v>1431.9</v>
      </c>
    </row>
    <row r="40" spans="1:12" ht="15" x14ac:dyDescent="0.2">
      <c r="A40" s="287" t="s">
        <v>682</v>
      </c>
      <c r="B40" s="157" t="s">
        <v>683</v>
      </c>
      <c r="C40" s="288" t="s">
        <v>29</v>
      </c>
      <c r="D40" s="289">
        <v>0.08</v>
      </c>
      <c r="E40" s="286">
        <v>1005.49</v>
      </c>
      <c r="F40" s="286">
        <f t="shared" si="2"/>
        <v>80.44</v>
      </c>
    </row>
    <row r="41" spans="1:12" ht="15" x14ac:dyDescent="0.2">
      <c r="A41" s="287" t="s">
        <v>684</v>
      </c>
      <c r="B41" s="157" t="s">
        <v>685</v>
      </c>
      <c r="C41" s="288" t="s">
        <v>29</v>
      </c>
      <c r="D41" s="289">
        <v>7.0000000000000007E-2</v>
      </c>
      <c r="E41" s="286">
        <v>986.84</v>
      </c>
      <c r="F41" s="286">
        <f t="shared" si="2"/>
        <v>69.08</v>
      </c>
    </row>
    <row r="42" spans="1:12" ht="15" x14ac:dyDescent="0.2">
      <c r="A42" s="287" t="s">
        <v>686</v>
      </c>
      <c r="B42" s="157" t="s">
        <v>687</v>
      </c>
      <c r="C42" s="288" t="s">
        <v>29</v>
      </c>
      <c r="D42" s="289">
        <v>0.06</v>
      </c>
      <c r="E42" s="286">
        <v>986.84</v>
      </c>
      <c r="F42" s="286">
        <f t="shared" si="2"/>
        <v>59.21</v>
      </c>
    </row>
    <row r="43" spans="1:12" ht="15" x14ac:dyDescent="0.2">
      <c r="A43" s="287" t="s">
        <v>688</v>
      </c>
      <c r="B43" s="157" t="s">
        <v>689</v>
      </c>
      <c r="C43" s="288" t="s">
        <v>29</v>
      </c>
      <c r="D43" s="289">
        <v>0.04</v>
      </c>
      <c r="E43" s="286">
        <v>986.84</v>
      </c>
      <c r="F43" s="286">
        <f t="shared" si="2"/>
        <v>39.47</v>
      </c>
    </row>
    <row r="44" spans="1:12" ht="15" x14ac:dyDescent="0.2">
      <c r="A44" s="287" t="s">
        <v>690</v>
      </c>
      <c r="B44" s="157" t="s">
        <v>691</v>
      </c>
      <c r="C44" s="288" t="s">
        <v>29</v>
      </c>
      <c r="D44" s="289">
        <v>0.14000000000000001</v>
      </c>
      <c r="E44" s="286">
        <v>986.84</v>
      </c>
      <c r="F44" s="286">
        <f t="shared" si="2"/>
        <v>138.16</v>
      </c>
    </row>
    <row r="45" spans="1:12" s="283" customFormat="1" ht="15" x14ac:dyDescent="0.2">
      <c r="A45" s="455" t="s">
        <v>692</v>
      </c>
      <c r="B45" s="455"/>
      <c r="C45" s="455"/>
      <c r="D45" s="455"/>
      <c r="E45" s="455"/>
      <c r="F45" s="286"/>
    </row>
    <row r="46" spans="1:12" ht="30" x14ac:dyDescent="0.2">
      <c r="A46" s="287" t="s">
        <v>415</v>
      </c>
      <c r="B46" s="313" t="s">
        <v>416</v>
      </c>
      <c r="C46" s="182" t="s">
        <v>348</v>
      </c>
      <c r="D46" s="289">
        <v>6</v>
      </c>
      <c r="E46" s="286">
        <f>ROUND(10.23*1.2619,2)</f>
        <v>12.91</v>
      </c>
      <c r="F46" s="286">
        <f t="shared" si="2"/>
        <v>77.459999999999994</v>
      </c>
    </row>
    <row r="47" spans="1:12" ht="15" x14ac:dyDescent="0.2">
      <c r="A47" s="287" t="s">
        <v>693</v>
      </c>
      <c r="B47" s="293" t="s">
        <v>571</v>
      </c>
      <c r="C47" s="182" t="s">
        <v>348</v>
      </c>
      <c r="D47" s="289">
        <v>12</v>
      </c>
      <c r="E47" s="286">
        <f>ROUND((5.34/1.309)*1.2619,2)</f>
        <v>5.15</v>
      </c>
      <c r="F47" s="286">
        <f t="shared" si="2"/>
        <v>61.8</v>
      </c>
    </row>
    <row r="48" spans="1:12" ht="15" x14ac:dyDescent="0.2">
      <c r="A48" s="455" t="s">
        <v>694</v>
      </c>
      <c r="B48" s="455"/>
      <c r="C48" s="455"/>
      <c r="D48" s="455"/>
      <c r="E48" s="455"/>
      <c r="F48" s="286"/>
    </row>
    <row r="49" spans="1:6" ht="36" customHeight="1" x14ac:dyDescent="0.2">
      <c r="A49" s="287" t="s">
        <v>695</v>
      </c>
      <c r="B49" s="142" t="s">
        <v>696</v>
      </c>
      <c r="C49" s="182" t="s">
        <v>348</v>
      </c>
      <c r="D49" s="289">
        <v>6</v>
      </c>
      <c r="E49" s="286">
        <f>ROUND((10.71/1.309)*1.2619,2)</f>
        <v>10.32</v>
      </c>
      <c r="F49" s="286">
        <f t="shared" si="2"/>
        <v>61.92</v>
      </c>
    </row>
    <row r="50" spans="1:6" ht="15" x14ac:dyDescent="0.2">
      <c r="D50" s="456" t="s">
        <v>448</v>
      </c>
      <c r="E50" s="456"/>
      <c r="F50" s="295">
        <f>SUM(F39:F49)</f>
        <v>2019.4400000000003</v>
      </c>
    </row>
    <row r="52" spans="1:6" ht="14.25" x14ac:dyDescent="0.2">
      <c r="E52" s="315" t="s">
        <v>311</v>
      </c>
      <c r="F52" s="316">
        <f>SUM(F21+F35+F50)</f>
        <v>9127.1000000000022</v>
      </c>
    </row>
  </sheetData>
  <mergeCells count="9">
    <mergeCell ref="A45:E45"/>
    <mergeCell ref="A48:E48"/>
    <mergeCell ref="D50:E50"/>
    <mergeCell ref="A1:E1"/>
    <mergeCell ref="B3:F3"/>
    <mergeCell ref="D21:E21"/>
    <mergeCell ref="A23:F23"/>
    <mergeCell ref="D35:E35"/>
    <mergeCell ref="A37:E37"/>
  </mergeCells>
  <printOptions horizontalCentered="1"/>
  <pageMargins left="0.39370078740157483" right="0.39370078740157483" top="0.39370078740157483" bottom="0.39370078740157483" header="0" footer="0"/>
  <pageSetup paperSize="9" scale="80" orientation="portrait" horizontalDpi="300" verticalDpi="300" r:id="rId1"/>
  <headerFooter alignWithMargins="0">
    <oddHeader>&amp;L&amp;"Arial,Itálico"&amp;11HISTÓRICOS ORÇAMENTÁRIOS</oddHeader>
    <oddFooter>&amp;RPágina &amp;P</oddFooter>
  </headerFooter>
  <rowBreaks count="1" manualBreakCount="1">
    <brk id="36" max="5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view="pageBreakPreview" zoomScaleNormal="110" zoomScaleSheetLayoutView="100" workbookViewId="0">
      <selection activeCell="F32" sqref="F32"/>
    </sheetView>
  </sheetViews>
  <sheetFormatPr defaultRowHeight="12.75" x14ac:dyDescent="0.2"/>
  <cols>
    <col min="1" max="1" width="11.5703125" style="143" customWidth="1"/>
    <col min="2" max="2" width="43.140625" style="143" customWidth="1"/>
    <col min="3" max="3" width="7.7109375" style="143" customWidth="1"/>
    <col min="4" max="4" width="9.140625" style="143"/>
    <col min="5" max="5" width="10.5703125" style="143" customWidth="1"/>
    <col min="6" max="6" width="10.28515625" style="143" customWidth="1"/>
    <col min="7" max="16384" width="9.140625" style="143"/>
  </cols>
  <sheetData>
    <row r="1" spans="1:6" ht="15" x14ac:dyDescent="0.2">
      <c r="A1" s="453" t="s">
        <v>324</v>
      </c>
      <c r="B1" s="453"/>
      <c r="C1" s="453"/>
      <c r="D1" s="453"/>
      <c r="E1" s="453"/>
      <c r="F1" s="453"/>
    </row>
    <row r="2" spans="1:6" s="144" customFormat="1" ht="15" x14ac:dyDescent="0.25">
      <c r="A2" s="175"/>
      <c r="B2" s="175"/>
      <c r="C2" s="175"/>
      <c r="D2" s="175"/>
      <c r="E2" s="175"/>
      <c r="F2" s="157"/>
    </row>
    <row r="3" spans="1:6" s="144" customFormat="1" ht="30" customHeight="1" x14ac:dyDescent="0.25">
      <c r="A3" s="176" t="s">
        <v>697</v>
      </c>
      <c r="B3" s="449" t="s">
        <v>427</v>
      </c>
      <c r="C3" s="449"/>
      <c r="D3" s="449"/>
      <c r="E3" s="449"/>
      <c r="F3" s="449"/>
    </row>
    <row r="4" spans="1:6" s="144" customFormat="1" ht="15" x14ac:dyDescent="0.25">
      <c r="A4" s="176"/>
      <c r="B4" s="177"/>
      <c r="C4" s="177"/>
      <c r="D4" s="177"/>
      <c r="E4" s="177"/>
      <c r="F4" s="177"/>
    </row>
    <row r="5" spans="1:6" s="144" customFormat="1" ht="15" x14ac:dyDescent="0.25">
      <c r="A5" s="180">
        <v>13</v>
      </c>
      <c r="B5" s="317" t="s">
        <v>698</v>
      </c>
      <c r="C5" s="177"/>
      <c r="D5" s="177"/>
      <c r="E5" s="177"/>
      <c r="F5" s="177"/>
    </row>
    <row r="6" spans="1:6" s="144" customFormat="1" ht="14.25" customHeight="1" x14ac:dyDescent="0.25">
      <c r="A6" s="180" t="s">
        <v>699</v>
      </c>
      <c r="B6" s="317" t="s">
        <v>429</v>
      </c>
      <c r="C6" s="177"/>
      <c r="D6" s="177"/>
      <c r="E6" s="177"/>
      <c r="F6" s="177"/>
    </row>
    <row r="7" spans="1:6" s="144" customFormat="1" ht="15" x14ac:dyDescent="0.25">
      <c r="A7" s="318"/>
      <c r="B7" s="178"/>
    </row>
    <row r="8" spans="1:6" s="144" customFormat="1" ht="15" x14ac:dyDescent="0.25">
      <c r="A8" s="147" t="s">
        <v>306</v>
      </c>
      <c r="B8" s="148" t="s">
        <v>307</v>
      </c>
      <c r="C8" s="148" t="s">
        <v>308</v>
      </c>
      <c r="D8" s="148" t="s">
        <v>309</v>
      </c>
      <c r="E8" s="148" t="s">
        <v>310</v>
      </c>
      <c r="F8" s="148" t="s">
        <v>311</v>
      </c>
    </row>
    <row r="9" spans="1:6" s="144" customFormat="1" ht="30" x14ac:dyDescent="0.25">
      <c r="A9" s="154" t="s">
        <v>158</v>
      </c>
      <c r="B9" s="319" t="s">
        <v>430</v>
      </c>
      <c r="C9" s="151" t="s">
        <v>431</v>
      </c>
      <c r="D9" s="151">
        <v>1</v>
      </c>
      <c r="E9" s="183">
        <v>39</v>
      </c>
      <c r="F9" s="183">
        <f>E9*D9</f>
        <v>39</v>
      </c>
    </row>
    <row r="10" spans="1:6" s="144" customFormat="1" ht="15" x14ac:dyDescent="0.25">
      <c r="A10" s="178" t="s">
        <v>158</v>
      </c>
      <c r="B10" s="319" t="s">
        <v>432</v>
      </c>
      <c r="C10" s="151" t="s">
        <v>431</v>
      </c>
      <c r="D10" s="151">
        <v>1</v>
      </c>
      <c r="E10" s="183">
        <v>49.42</v>
      </c>
      <c r="F10" s="183">
        <f t="shared" ref="F10:F25" si="0">E10*D10</f>
        <v>49.42</v>
      </c>
    </row>
    <row r="11" spans="1:6" s="144" customFormat="1" ht="15" x14ac:dyDescent="0.25">
      <c r="A11" s="178" t="s">
        <v>158</v>
      </c>
      <c r="B11" s="319" t="s">
        <v>700</v>
      </c>
      <c r="C11" s="151" t="s">
        <v>431</v>
      </c>
      <c r="D11" s="151">
        <v>1</v>
      </c>
      <c r="E11" s="183">
        <v>32.56</v>
      </c>
      <c r="F11" s="183">
        <f t="shared" si="0"/>
        <v>32.56</v>
      </c>
    </row>
    <row r="12" spans="1:6" s="144" customFormat="1" ht="15" x14ac:dyDescent="0.25">
      <c r="A12" s="178" t="s">
        <v>158</v>
      </c>
      <c r="B12" s="319" t="s">
        <v>434</v>
      </c>
      <c r="C12" s="151" t="s">
        <v>431</v>
      </c>
      <c r="D12" s="151">
        <v>1</v>
      </c>
      <c r="E12" s="183">
        <v>5.86</v>
      </c>
      <c r="F12" s="183">
        <f t="shared" si="0"/>
        <v>5.86</v>
      </c>
    </row>
    <row r="13" spans="1:6" s="144" customFormat="1" ht="15" x14ac:dyDescent="0.25">
      <c r="A13" s="178" t="s">
        <v>158</v>
      </c>
      <c r="B13" s="319" t="s">
        <v>435</v>
      </c>
      <c r="C13" s="151" t="s">
        <v>431</v>
      </c>
      <c r="D13" s="151">
        <v>1</v>
      </c>
      <c r="E13" s="183">
        <v>5.86</v>
      </c>
      <c r="F13" s="183">
        <f t="shared" si="0"/>
        <v>5.86</v>
      </c>
    </row>
    <row r="14" spans="1:6" s="144" customFormat="1" ht="15" x14ac:dyDescent="0.25">
      <c r="A14" s="178" t="s">
        <v>158</v>
      </c>
      <c r="B14" s="319" t="s">
        <v>436</v>
      </c>
      <c r="C14" s="151" t="s">
        <v>268</v>
      </c>
      <c r="D14" s="151">
        <v>12</v>
      </c>
      <c r="E14" s="183">
        <v>13.2</v>
      </c>
      <c r="F14" s="183">
        <f t="shared" si="0"/>
        <v>158.39999999999998</v>
      </c>
    </row>
    <row r="15" spans="1:6" s="144" customFormat="1" ht="15" x14ac:dyDescent="0.25">
      <c r="A15" s="178" t="s">
        <v>158</v>
      </c>
      <c r="B15" s="319" t="s">
        <v>437</v>
      </c>
      <c r="C15" s="151" t="s">
        <v>431</v>
      </c>
      <c r="D15" s="151">
        <v>6</v>
      </c>
      <c r="E15" s="183">
        <v>1.53</v>
      </c>
      <c r="F15" s="183">
        <f t="shared" si="0"/>
        <v>9.18</v>
      </c>
    </row>
    <row r="16" spans="1:6" s="144" customFormat="1" ht="15" x14ac:dyDescent="0.25">
      <c r="A16" s="178" t="s">
        <v>158</v>
      </c>
      <c r="B16" s="319" t="s">
        <v>438</v>
      </c>
      <c r="C16" s="151" t="s">
        <v>431</v>
      </c>
      <c r="D16" s="151">
        <v>4</v>
      </c>
      <c r="E16" s="183">
        <v>2.69</v>
      </c>
      <c r="F16" s="183">
        <f t="shared" si="0"/>
        <v>10.76</v>
      </c>
    </row>
    <row r="17" spans="1:6" s="144" customFormat="1" ht="15" x14ac:dyDescent="0.25">
      <c r="A17" s="178" t="s">
        <v>158</v>
      </c>
      <c r="B17" s="319" t="s">
        <v>439</v>
      </c>
      <c r="C17" s="151" t="s">
        <v>431</v>
      </c>
      <c r="D17" s="151">
        <v>4</v>
      </c>
      <c r="E17" s="183">
        <v>4.9000000000000004</v>
      </c>
      <c r="F17" s="183">
        <f t="shared" si="0"/>
        <v>19.600000000000001</v>
      </c>
    </row>
    <row r="18" spans="1:6" s="144" customFormat="1" ht="15" x14ac:dyDescent="0.25">
      <c r="A18" s="178" t="s">
        <v>158</v>
      </c>
      <c r="B18" s="319" t="s">
        <v>440</v>
      </c>
      <c r="C18" s="151" t="s">
        <v>431</v>
      </c>
      <c r="D18" s="151">
        <v>2</v>
      </c>
      <c r="E18" s="183">
        <v>3.48</v>
      </c>
      <c r="F18" s="183">
        <f t="shared" si="0"/>
        <v>6.96</v>
      </c>
    </row>
    <row r="19" spans="1:6" s="144" customFormat="1" ht="15" x14ac:dyDescent="0.25">
      <c r="A19" s="178" t="s">
        <v>158</v>
      </c>
      <c r="B19" s="319" t="s">
        <v>441</v>
      </c>
      <c r="C19" s="151" t="s">
        <v>431</v>
      </c>
      <c r="D19" s="151">
        <v>1</v>
      </c>
      <c r="E19" s="183">
        <v>3.48</v>
      </c>
      <c r="F19" s="183">
        <f t="shared" si="0"/>
        <v>3.48</v>
      </c>
    </row>
    <row r="20" spans="1:6" s="144" customFormat="1" ht="15" x14ac:dyDescent="0.25">
      <c r="A20" s="178" t="s">
        <v>158</v>
      </c>
      <c r="B20" s="319" t="s">
        <v>442</v>
      </c>
      <c r="C20" s="151" t="s">
        <v>431</v>
      </c>
      <c r="D20" s="151">
        <v>1</v>
      </c>
      <c r="E20" s="183">
        <v>3.48</v>
      </c>
      <c r="F20" s="183">
        <f t="shared" si="0"/>
        <v>3.48</v>
      </c>
    </row>
    <row r="21" spans="1:6" s="144" customFormat="1" ht="15" x14ac:dyDescent="0.25">
      <c r="A21" s="178" t="s">
        <v>158</v>
      </c>
      <c r="B21" s="319" t="s">
        <v>443</v>
      </c>
      <c r="C21" s="151" t="s">
        <v>431</v>
      </c>
      <c r="D21" s="151">
        <v>1</v>
      </c>
      <c r="E21" s="183">
        <v>6.9</v>
      </c>
      <c r="F21" s="183">
        <f t="shared" si="0"/>
        <v>6.9</v>
      </c>
    </row>
    <row r="22" spans="1:6" s="144" customFormat="1" ht="15" x14ac:dyDescent="0.25">
      <c r="A22" s="178" t="s">
        <v>158</v>
      </c>
      <c r="B22" s="319" t="s">
        <v>444</v>
      </c>
      <c r="C22" s="151" t="s">
        <v>431</v>
      </c>
      <c r="D22" s="151">
        <v>2</v>
      </c>
      <c r="E22" s="183">
        <f>14.96+24</f>
        <v>38.96</v>
      </c>
      <c r="F22" s="183">
        <f t="shared" si="0"/>
        <v>77.92</v>
      </c>
    </row>
    <row r="23" spans="1:6" s="144" customFormat="1" ht="15" x14ac:dyDescent="0.25">
      <c r="A23" s="178" t="s">
        <v>158</v>
      </c>
      <c r="B23" s="319" t="s">
        <v>445</v>
      </c>
      <c r="C23" s="151" t="s">
        <v>431</v>
      </c>
      <c r="D23" s="151">
        <v>1</v>
      </c>
      <c r="E23" s="183">
        <v>5.88</v>
      </c>
      <c r="F23" s="183">
        <f t="shared" si="0"/>
        <v>5.88</v>
      </c>
    </row>
    <row r="24" spans="1:6" s="144" customFormat="1" ht="15" x14ac:dyDescent="0.25">
      <c r="A24" s="178" t="s">
        <v>158</v>
      </c>
      <c r="B24" s="319" t="s">
        <v>446</v>
      </c>
      <c r="C24" s="151" t="s">
        <v>268</v>
      </c>
      <c r="D24" s="151">
        <v>40</v>
      </c>
      <c r="E24" s="183">
        <v>1.1000000000000001</v>
      </c>
      <c r="F24" s="183">
        <f t="shared" si="0"/>
        <v>44</v>
      </c>
    </row>
    <row r="25" spans="1:6" s="144" customFormat="1" ht="15" x14ac:dyDescent="0.25">
      <c r="A25" s="178" t="s">
        <v>158</v>
      </c>
      <c r="B25" s="319" t="s">
        <v>447</v>
      </c>
      <c r="C25" s="151" t="s">
        <v>268</v>
      </c>
      <c r="D25" s="151">
        <v>15</v>
      </c>
      <c r="E25" s="183">
        <v>0.7</v>
      </c>
      <c r="F25" s="183">
        <f t="shared" si="0"/>
        <v>10.5</v>
      </c>
    </row>
    <row r="26" spans="1:6" s="144" customFormat="1" ht="15" x14ac:dyDescent="0.25">
      <c r="A26" s="154"/>
      <c r="B26" s="184"/>
      <c r="C26" s="151"/>
      <c r="D26" s="450" t="s">
        <v>448</v>
      </c>
      <c r="E26" s="450"/>
      <c r="F26" s="167">
        <f>SUM(F9:F25)</f>
        <v>489.76000000000005</v>
      </c>
    </row>
    <row r="27" spans="1:6" s="144" customFormat="1" ht="15" x14ac:dyDescent="0.25">
      <c r="A27" s="154"/>
      <c r="B27" s="184"/>
      <c r="C27" s="151"/>
      <c r="D27" s="152"/>
    </row>
    <row r="28" spans="1:6" s="144" customFormat="1" ht="15" x14ac:dyDescent="0.25">
      <c r="A28" s="180" t="s">
        <v>701</v>
      </c>
      <c r="B28" s="317" t="s">
        <v>449</v>
      </c>
      <c r="C28" s="151"/>
      <c r="D28" s="152"/>
    </row>
    <row r="29" spans="1:6" s="144" customFormat="1" ht="15" x14ac:dyDescent="0.25"/>
    <row r="30" spans="1:6" s="144" customFormat="1" ht="15" x14ac:dyDescent="0.25">
      <c r="A30" s="147" t="s">
        <v>306</v>
      </c>
      <c r="B30" s="148" t="s">
        <v>307</v>
      </c>
      <c r="C30" s="148" t="s">
        <v>308</v>
      </c>
      <c r="D30" s="148" t="s">
        <v>309</v>
      </c>
      <c r="E30" s="148" t="s">
        <v>310</v>
      </c>
      <c r="F30" s="148" t="s">
        <v>311</v>
      </c>
    </row>
    <row r="31" spans="1:6" s="144" customFormat="1" ht="15" x14ac:dyDescent="0.25">
      <c r="A31" s="178" t="s">
        <v>158</v>
      </c>
      <c r="B31" s="319" t="s">
        <v>702</v>
      </c>
      <c r="C31" s="151" t="s">
        <v>431</v>
      </c>
      <c r="D31" s="151">
        <v>1</v>
      </c>
      <c r="E31" s="157">
        <f>ROUND((1017.33/1.309)*1.2619,2)</f>
        <v>980.72</v>
      </c>
      <c r="F31" s="161">
        <f t="shared" ref="F31:F39" si="1">(E31*D31)</f>
        <v>980.72</v>
      </c>
    </row>
    <row r="32" spans="1:6" s="144" customFormat="1" ht="15" x14ac:dyDescent="0.25">
      <c r="A32" s="178" t="s">
        <v>158</v>
      </c>
      <c r="B32" s="319" t="s">
        <v>451</v>
      </c>
      <c r="C32" s="151" t="s">
        <v>268</v>
      </c>
      <c r="D32" s="151">
        <v>72</v>
      </c>
      <c r="E32" s="157">
        <v>8.02</v>
      </c>
      <c r="F32" s="161">
        <f t="shared" si="1"/>
        <v>577.43999999999994</v>
      </c>
    </row>
    <row r="33" spans="1:6" s="144" customFormat="1" ht="15" x14ac:dyDescent="0.25">
      <c r="A33" s="178" t="s">
        <v>158</v>
      </c>
      <c r="B33" s="319" t="s">
        <v>452</v>
      </c>
      <c r="C33" s="151" t="s">
        <v>268</v>
      </c>
      <c r="D33" s="151">
        <v>16</v>
      </c>
      <c r="E33" s="157">
        <v>4.9400000000000004</v>
      </c>
      <c r="F33" s="161">
        <f t="shared" si="1"/>
        <v>79.040000000000006</v>
      </c>
    </row>
    <row r="34" spans="1:6" s="144" customFormat="1" ht="30" x14ac:dyDescent="0.25">
      <c r="A34" s="150" t="s">
        <v>158</v>
      </c>
      <c r="B34" s="319" t="s">
        <v>453</v>
      </c>
      <c r="C34" s="151" t="s">
        <v>454</v>
      </c>
      <c r="D34" s="151">
        <v>1</v>
      </c>
      <c r="E34" s="157">
        <v>80.14</v>
      </c>
      <c r="F34" s="161">
        <f t="shared" si="1"/>
        <v>80.14</v>
      </c>
    </row>
    <row r="35" spans="1:6" s="144" customFormat="1" ht="15" x14ac:dyDescent="0.25">
      <c r="A35" s="178" t="s">
        <v>158</v>
      </c>
      <c r="B35" s="319" t="s">
        <v>432</v>
      </c>
      <c r="C35" s="151" t="s">
        <v>431</v>
      </c>
      <c r="D35" s="151">
        <v>1</v>
      </c>
      <c r="E35" s="157">
        <v>49.42</v>
      </c>
      <c r="F35" s="161">
        <f t="shared" si="1"/>
        <v>49.42</v>
      </c>
    </row>
    <row r="36" spans="1:6" s="144" customFormat="1" ht="15" x14ac:dyDescent="0.25">
      <c r="A36" s="178" t="s">
        <v>158</v>
      </c>
      <c r="B36" s="319" t="s">
        <v>455</v>
      </c>
      <c r="C36" s="151" t="s">
        <v>431</v>
      </c>
      <c r="D36" s="151">
        <v>2</v>
      </c>
      <c r="E36" s="157">
        <v>26.95</v>
      </c>
      <c r="F36" s="161">
        <f t="shared" si="1"/>
        <v>53.9</v>
      </c>
    </row>
    <row r="37" spans="1:6" s="144" customFormat="1" ht="15" x14ac:dyDescent="0.25">
      <c r="A37" s="178" t="s">
        <v>158</v>
      </c>
      <c r="B37" s="319" t="s">
        <v>456</v>
      </c>
      <c r="C37" s="151" t="s">
        <v>268</v>
      </c>
      <c r="D37" s="151">
        <v>12</v>
      </c>
      <c r="E37" s="157">
        <v>13.96</v>
      </c>
      <c r="F37" s="161">
        <f t="shared" si="1"/>
        <v>167.52</v>
      </c>
    </row>
    <row r="38" spans="1:6" s="144" customFormat="1" ht="15" x14ac:dyDescent="0.25">
      <c r="A38" s="178" t="s">
        <v>158</v>
      </c>
      <c r="B38" s="319" t="s">
        <v>457</v>
      </c>
      <c r="C38" s="151" t="s">
        <v>268</v>
      </c>
      <c r="D38" s="151">
        <v>2</v>
      </c>
      <c r="E38" s="157">
        <v>3.58</v>
      </c>
      <c r="F38" s="161">
        <f t="shared" si="1"/>
        <v>7.16</v>
      </c>
    </row>
    <row r="39" spans="1:6" s="144" customFormat="1" ht="15" x14ac:dyDescent="0.25">
      <c r="A39" s="178" t="s">
        <v>158</v>
      </c>
      <c r="B39" s="319" t="s">
        <v>458</v>
      </c>
      <c r="C39" s="151" t="s">
        <v>268</v>
      </c>
      <c r="D39" s="151">
        <v>8</v>
      </c>
      <c r="E39" s="157">
        <v>1.84</v>
      </c>
      <c r="F39" s="161">
        <f t="shared" si="1"/>
        <v>14.72</v>
      </c>
    </row>
    <row r="40" spans="1:6" s="144" customFormat="1" ht="15" x14ac:dyDescent="0.25">
      <c r="A40" s="154"/>
      <c r="B40" s="319"/>
      <c r="C40" s="151"/>
      <c r="D40" s="450" t="s">
        <v>448</v>
      </c>
      <c r="E40" s="450"/>
      <c r="F40" s="167">
        <f>SUM(F31:F39)</f>
        <v>2010.0600000000002</v>
      </c>
    </row>
    <row r="41" spans="1:6" s="144" customFormat="1" ht="15" x14ac:dyDescent="0.25">
      <c r="A41" s="154"/>
      <c r="B41" s="319"/>
      <c r="C41" s="151"/>
      <c r="D41" s="189"/>
      <c r="E41" s="189"/>
      <c r="F41" s="167"/>
    </row>
    <row r="42" spans="1:6" s="144" customFormat="1" ht="15" x14ac:dyDescent="0.25">
      <c r="A42" s="154"/>
      <c r="B42" s="319"/>
      <c r="C42" s="151"/>
      <c r="D42" s="189"/>
      <c r="E42" s="189"/>
      <c r="F42" s="167"/>
    </row>
    <row r="43" spans="1:6" s="144" customFormat="1" ht="15" x14ac:dyDescent="0.25">
      <c r="A43" s="154"/>
      <c r="B43" s="319"/>
      <c r="C43" s="151"/>
      <c r="D43" s="189"/>
      <c r="E43" s="189"/>
      <c r="F43" s="167"/>
    </row>
    <row r="44" spans="1:6" s="144" customFormat="1" ht="15" x14ac:dyDescent="0.25">
      <c r="A44" s="154"/>
      <c r="B44" s="319"/>
      <c r="C44" s="151"/>
      <c r="D44" s="189"/>
      <c r="E44" s="189"/>
      <c r="F44" s="167"/>
    </row>
    <row r="45" spans="1:6" s="144" customFormat="1" ht="15" x14ac:dyDescent="0.25">
      <c r="A45" s="154"/>
      <c r="B45" s="319"/>
      <c r="C45" s="151"/>
      <c r="D45" s="189"/>
      <c r="E45" s="189"/>
      <c r="F45" s="167"/>
    </row>
    <row r="46" spans="1:6" s="144" customFormat="1" ht="15" x14ac:dyDescent="0.25">
      <c r="A46" s="154"/>
      <c r="B46" s="319"/>
      <c r="C46" s="151"/>
      <c r="D46" s="189"/>
      <c r="E46" s="189"/>
      <c r="F46" s="167"/>
    </row>
    <row r="47" spans="1:6" s="144" customFormat="1" ht="15" x14ac:dyDescent="0.25"/>
    <row r="48" spans="1:6" s="144" customFormat="1" ht="15" x14ac:dyDescent="0.25">
      <c r="A48" s="180" t="s">
        <v>703</v>
      </c>
      <c r="B48" s="317" t="s">
        <v>460</v>
      </c>
    </row>
    <row r="49" spans="1:6" s="144" customFormat="1" ht="15" x14ac:dyDescent="0.25"/>
    <row r="50" spans="1:6" s="144" customFormat="1" ht="15" x14ac:dyDescent="0.25">
      <c r="A50" s="147" t="s">
        <v>306</v>
      </c>
      <c r="B50" s="148" t="s">
        <v>307</v>
      </c>
      <c r="C50" s="148" t="s">
        <v>308</v>
      </c>
      <c r="D50" s="148" t="s">
        <v>309</v>
      </c>
      <c r="E50" s="148" t="s">
        <v>310</v>
      </c>
      <c r="F50" s="148" t="s">
        <v>311</v>
      </c>
    </row>
    <row r="51" spans="1:6" s="144" customFormat="1" ht="78" customHeight="1" x14ac:dyDescent="0.25">
      <c r="A51" s="154" t="s">
        <v>158</v>
      </c>
      <c r="B51" s="221" t="s">
        <v>704</v>
      </c>
      <c r="C51" s="151" t="s">
        <v>431</v>
      </c>
      <c r="D51" s="151">
        <v>1</v>
      </c>
      <c r="E51" s="161">
        <v>1214</v>
      </c>
      <c r="F51" s="161">
        <f>D51*E51</f>
        <v>1214</v>
      </c>
    </row>
    <row r="52" spans="1:6" s="144" customFormat="1" ht="15" x14ac:dyDescent="0.25">
      <c r="A52" s="154" t="s">
        <v>158</v>
      </c>
      <c r="B52" s="150" t="s">
        <v>462</v>
      </c>
      <c r="C52" s="151" t="s">
        <v>431</v>
      </c>
      <c r="D52" s="151">
        <v>2</v>
      </c>
      <c r="E52" s="161">
        <v>33.380000000000003</v>
      </c>
      <c r="F52" s="157">
        <f>D52*E52</f>
        <v>66.760000000000005</v>
      </c>
    </row>
    <row r="53" spans="1:6" s="144" customFormat="1" ht="15" x14ac:dyDescent="0.25">
      <c r="A53" s="154" t="s">
        <v>158</v>
      </c>
      <c r="B53" s="150" t="s">
        <v>465</v>
      </c>
      <c r="C53" s="151" t="s">
        <v>268</v>
      </c>
      <c r="D53" s="151">
        <v>9</v>
      </c>
      <c r="E53" s="161">
        <v>9.69</v>
      </c>
      <c r="F53" s="157">
        <f>D53*E53</f>
        <v>87.21</v>
      </c>
    </row>
    <row r="54" spans="1:6" s="144" customFormat="1" ht="15" x14ac:dyDescent="0.25">
      <c r="A54" s="154" t="s">
        <v>158</v>
      </c>
      <c r="B54" s="150" t="s">
        <v>466</v>
      </c>
      <c r="C54" s="151" t="s">
        <v>268</v>
      </c>
      <c r="D54" s="151">
        <v>2</v>
      </c>
      <c r="E54" s="161">
        <v>3.56</v>
      </c>
      <c r="F54" s="157">
        <f>D54*E54</f>
        <v>7.12</v>
      </c>
    </row>
    <row r="55" spans="1:6" s="144" customFormat="1" ht="15" x14ac:dyDescent="0.25">
      <c r="A55" s="154" t="s">
        <v>158</v>
      </c>
      <c r="B55" s="150" t="s">
        <v>467</v>
      </c>
      <c r="C55" s="151" t="s">
        <v>268</v>
      </c>
      <c r="D55" s="151">
        <v>12</v>
      </c>
      <c r="E55" s="161">
        <v>1.18</v>
      </c>
      <c r="F55" s="157">
        <f>D55*E55</f>
        <v>14.16</v>
      </c>
    </row>
    <row r="56" spans="1:6" s="144" customFormat="1" ht="15" x14ac:dyDescent="0.25">
      <c r="D56" s="450" t="s">
        <v>448</v>
      </c>
      <c r="E56" s="450"/>
      <c r="F56" s="167">
        <f>SUM(F51:F55)</f>
        <v>1389.25</v>
      </c>
    </row>
    <row r="57" spans="1:6" s="144" customFormat="1" ht="15" x14ac:dyDescent="0.25"/>
    <row r="58" spans="1:6" s="144" customFormat="1" ht="15" x14ac:dyDescent="0.25">
      <c r="E58" s="166" t="s">
        <v>311</v>
      </c>
      <c r="F58" s="167">
        <f>SUM(F56+F40+F26)</f>
        <v>3889.0700000000006</v>
      </c>
    </row>
  </sheetData>
  <mergeCells count="5">
    <mergeCell ref="A1:F1"/>
    <mergeCell ref="B3:F3"/>
    <mergeCell ref="D26:E26"/>
    <mergeCell ref="D40:E40"/>
    <mergeCell ref="D56:E56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rowBreaks count="1" manualBreakCount="1">
    <brk id="45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showGridLines="0" view="pageBreakPreview" topLeftCell="A22" zoomScaleNormal="75" zoomScaleSheetLayoutView="100" workbookViewId="0">
      <selection activeCell="B21" sqref="B21"/>
    </sheetView>
  </sheetViews>
  <sheetFormatPr defaultRowHeight="12.75" x14ac:dyDescent="0.2"/>
  <cols>
    <col min="1" max="1" width="15.5703125" style="143" customWidth="1"/>
    <col min="2" max="2" width="53.7109375" style="143" customWidth="1"/>
    <col min="3" max="3" width="13" style="143" customWidth="1"/>
    <col min="4" max="4" width="9.28515625" style="143" customWidth="1"/>
    <col min="5" max="5" width="12" style="143" customWidth="1"/>
    <col min="6" max="6" width="13" style="143" customWidth="1"/>
    <col min="7" max="7" width="13.28515625" style="143" customWidth="1"/>
    <col min="8" max="16384" width="9.140625" style="143"/>
  </cols>
  <sheetData>
    <row r="1" spans="1:7" s="138" customFormat="1" ht="18.75" customHeight="1" x14ac:dyDescent="0.2">
      <c r="A1" s="447" t="s">
        <v>705</v>
      </c>
      <c r="B1" s="447"/>
      <c r="C1" s="447"/>
      <c r="D1" s="447"/>
      <c r="E1" s="447"/>
      <c r="F1" s="447"/>
    </row>
    <row r="2" spans="1:7" s="138" customFormat="1" ht="15" customHeight="1" x14ac:dyDescent="0.2">
      <c r="A2" s="157"/>
      <c r="B2" s="157"/>
      <c r="C2" s="320"/>
      <c r="D2" s="321"/>
      <c r="E2" s="157"/>
      <c r="F2" s="157"/>
    </row>
    <row r="3" spans="1:7" ht="38.25" customHeight="1" x14ac:dyDescent="0.2">
      <c r="A3" s="322" t="s">
        <v>706</v>
      </c>
      <c r="B3" s="448" t="s">
        <v>707</v>
      </c>
      <c r="C3" s="448"/>
      <c r="D3" s="448"/>
      <c r="E3" s="448"/>
      <c r="F3" s="448"/>
      <c r="G3" s="323"/>
    </row>
    <row r="4" spans="1:7" ht="12" customHeight="1" x14ac:dyDescent="0.25">
      <c r="A4" s="460"/>
      <c r="B4" s="460"/>
      <c r="C4" s="460"/>
      <c r="D4" s="460"/>
      <c r="E4" s="460"/>
      <c r="F4" s="460"/>
    </row>
    <row r="5" spans="1:7" s="138" customFormat="1" ht="16.5" customHeight="1" x14ac:dyDescent="0.2">
      <c r="A5" s="147" t="s">
        <v>306</v>
      </c>
      <c r="B5" s="148" t="s">
        <v>307</v>
      </c>
      <c r="C5" s="148" t="s">
        <v>308</v>
      </c>
      <c r="D5" s="148" t="s">
        <v>309</v>
      </c>
      <c r="E5" s="148" t="s">
        <v>310</v>
      </c>
      <c r="F5" s="148" t="s">
        <v>311</v>
      </c>
    </row>
    <row r="6" spans="1:7" ht="21" customHeight="1" x14ac:dyDescent="0.25">
      <c r="A6" s="154" t="s">
        <v>708</v>
      </c>
      <c r="B6" s="221" t="s">
        <v>495</v>
      </c>
      <c r="C6" s="151" t="s">
        <v>27</v>
      </c>
      <c r="D6" s="181">
        <v>6</v>
      </c>
      <c r="E6" s="213">
        <f>ROUND(19.05*1.2619,2)</f>
        <v>24.04</v>
      </c>
      <c r="F6" s="213">
        <f>ROUND(D6*E6,2)</f>
        <v>144.24</v>
      </c>
      <c r="G6" s="174"/>
    </row>
    <row r="7" spans="1:7" ht="30" x14ac:dyDescent="0.2">
      <c r="A7" s="219" t="s">
        <v>471</v>
      </c>
      <c r="B7" s="221" t="s">
        <v>472</v>
      </c>
      <c r="C7" s="149" t="s">
        <v>27</v>
      </c>
      <c r="D7" s="222">
        <v>36</v>
      </c>
      <c r="E7" s="213">
        <f>ROUND(9.26*1.2619,2)</f>
        <v>11.69</v>
      </c>
      <c r="F7" s="213">
        <f t="shared" ref="F7:F26" si="0">ROUND(D7*E7,2)</f>
        <v>420.84</v>
      </c>
      <c r="G7" s="174"/>
    </row>
    <row r="8" spans="1:7" ht="30" x14ac:dyDescent="0.2">
      <c r="A8" s="219" t="s">
        <v>709</v>
      </c>
      <c r="B8" s="221" t="s">
        <v>710</v>
      </c>
      <c r="C8" s="149" t="s">
        <v>27</v>
      </c>
      <c r="D8" s="222">
        <v>9</v>
      </c>
      <c r="E8" s="213">
        <f>ROUND(17.9*1.2619,2)</f>
        <v>22.59</v>
      </c>
      <c r="F8" s="213">
        <f t="shared" si="0"/>
        <v>203.31</v>
      </c>
      <c r="G8" s="174"/>
    </row>
    <row r="9" spans="1:7" ht="30" x14ac:dyDescent="0.2">
      <c r="A9" s="163" t="s">
        <v>711</v>
      </c>
      <c r="B9" s="221" t="s">
        <v>712</v>
      </c>
      <c r="C9" s="213" t="s">
        <v>331</v>
      </c>
      <c r="D9" s="215">
        <v>1</v>
      </c>
      <c r="E9" s="213">
        <f>ROUND(18.5*1.2619,2)</f>
        <v>23.35</v>
      </c>
      <c r="F9" s="213">
        <f t="shared" si="0"/>
        <v>23.35</v>
      </c>
    </row>
    <row r="10" spans="1:7" ht="34.5" customHeight="1" x14ac:dyDescent="0.2">
      <c r="A10" s="163" t="s">
        <v>713</v>
      </c>
      <c r="B10" s="221" t="s">
        <v>714</v>
      </c>
      <c r="C10" s="213" t="s">
        <v>331</v>
      </c>
      <c r="D10" s="215">
        <v>3</v>
      </c>
      <c r="E10" s="213">
        <f>ROUND(12.48*1.2619,2)</f>
        <v>15.75</v>
      </c>
      <c r="F10" s="213">
        <f t="shared" si="0"/>
        <v>47.25</v>
      </c>
      <c r="G10" s="174"/>
    </row>
    <row r="11" spans="1:7" ht="30" x14ac:dyDescent="0.2">
      <c r="A11" s="163" t="s">
        <v>715</v>
      </c>
      <c r="B11" s="221" t="s">
        <v>716</v>
      </c>
      <c r="C11" s="213" t="s">
        <v>331</v>
      </c>
      <c r="D11" s="215">
        <v>4</v>
      </c>
      <c r="E11" s="213">
        <f>ROUND(1.65*1.2619,2)</f>
        <v>2.08</v>
      </c>
      <c r="F11" s="213">
        <f t="shared" si="0"/>
        <v>8.32</v>
      </c>
      <c r="G11" s="174"/>
    </row>
    <row r="12" spans="1:7" ht="30" x14ac:dyDescent="0.2">
      <c r="A12" s="163" t="s">
        <v>717</v>
      </c>
      <c r="B12" s="221" t="s">
        <v>504</v>
      </c>
      <c r="C12" s="213" t="s">
        <v>331</v>
      </c>
      <c r="D12" s="215">
        <v>8</v>
      </c>
      <c r="E12" s="213">
        <f>ROUND(3.69*1.2619,2)</f>
        <v>4.66</v>
      </c>
      <c r="F12" s="213">
        <f t="shared" si="0"/>
        <v>37.28</v>
      </c>
      <c r="G12" s="174"/>
    </row>
    <row r="13" spans="1:7" ht="30" x14ac:dyDescent="0.2">
      <c r="A13" s="163" t="s">
        <v>718</v>
      </c>
      <c r="B13" s="221" t="s">
        <v>502</v>
      </c>
      <c r="C13" s="213" t="s">
        <v>331</v>
      </c>
      <c r="D13" s="215">
        <v>2</v>
      </c>
      <c r="E13" s="213">
        <f>ROUND(10.51*1.2619,2)</f>
        <v>13.26</v>
      </c>
      <c r="F13" s="213">
        <f t="shared" si="0"/>
        <v>26.52</v>
      </c>
      <c r="G13" s="174"/>
    </row>
    <row r="14" spans="1:7" ht="17.25" customHeight="1" x14ac:dyDescent="0.2">
      <c r="A14" s="163" t="s">
        <v>524</v>
      </c>
      <c r="B14" s="221" t="s">
        <v>525</v>
      </c>
      <c r="C14" s="213" t="s">
        <v>331</v>
      </c>
      <c r="D14" s="215">
        <v>5</v>
      </c>
      <c r="E14" s="213">
        <f>ROUND(20.67*1.2619,2)</f>
        <v>26.08</v>
      </c>
      <c r="F14" s="213">
        <f t="shared" si="0"/>
        <v>130.4</v>
      </c>
      <c r="G14" s="174"/>
    </row>
    <row r="15" spans="1:7" ht="30" x14ac:dyDescent="0.2">
      <c r="A15" s="163" t="s">
        <v>473</v>
      </c>
      <c r="B15" s="221" t="s">
        <v>474</v>
      </c>
      <c r="C15" s="213" t="s">
        <v>331</v>
      </c>
      <c r="D15" s="215">
        <v>3</v>
      </c>
      <c r="E15" s="213">
        <f>ROUND(2.57*1.2619,2)</f>
        <v>3.24</v>
      </c>
      <c r="F15" s="213">
        <f t="shared" si="0"/>
        <v>9.7200000000000006</v>
      </c>
      <c r="G15" s="174"/>
    </row>
    <row r="16" spans="1:7" ht="45" x14ac:dyDescent="0.2">
      <c r="A16" s="163" t="s">
        <v>719</v>
      </c>
      <c r="B16" s="221" t="s">
        <v>506</v>
      </c>
      <c r="C16" s="213" t="s">
        <v>331</v>
      </c>
      <c r="D16" s="215">
        <v>1</v>
      </c>
      <c r="E16" s="213">
        <f>ROUND(7.04*1.2619,2)</f>
        <v>8.8800000000000008</v>
      </c>
      <c r="F16" s="213">
        <f t="shared" si="0"/>
        <v>8.8800000000000008</v>
      </c>
      <c r="G16" s="174"/>
    </row>
    <row r="17" spans="1:16" ht="30" x14ac:dyDescent="0.2">
      <c r="A17" s="163" t="s">
        <v>720</v>
      </c>
      <c r="B17" s="221" t="s">
        <v>721</v>
      </c>
      <c r="C17" s="213" t="s">
        <v>331</v>
      </c>
      <c r="D17" s="215">
        <v>4</v>
      </c>
      <c r="E17" s="213">
        <f>ROUND(8.07*1.2619,2)</f>
        <v>10.18</v>
      </c>
      <c r="F17" s="213">
        <f t="shared" si="0"/>
        <v>40.72</v>
      </c>
      <c r="G17" s="174"/>
    </row>
    <row r="18" spans="1:16" ht="30" x14ac:dyDescent="0.2">
      <c r="A18" s="163" t="s">
        <v>722</v>
      </c>
      <c r="B18" s="221" t="s">
        <v>723</v>
      </c>
      <c r="C18" s="213" t="s">
        <v>331</v>
      </c>
      <c r="D18" s="215">
        <v>3</v>
      </c>
      <c r="E18" s="213">
        <f>ROUND(3.62*1.2619,2)</f>
        <v>4.57</v>
      </c>
      <c r="F18" s="213">
        <f t="shared" si="0"/>
        <v>13.71</v>
      </c>
      <c r="G18" s="174"/>
      <c r="H18" s="174"/>
    </row>
    <row r="19" spans="1:16" ht="30" x14ac:dyDescent="0.2">
      <c r="A19" s="163" t="s">
        <v>724</v>
      </c>
      <c r="B19" s="221" t="s">
        <v>725</v>
      </c>
      <c r="C19" s="213" t="s">
        <v>331</v>
      </c>
      <c r="D19" s="215">
        <v>2</v>
      </c>
      <c r="E19" s="213">
        <f>ROUND(17.33*1.2619,2)</f>
        <v>21.87</v>
      </c>
      <c r="F19" s="213">
        <f t="shared" si="0"/>
        <v>43.74</v>
      </c>
      <c r="G19" s="174"/>
    </row>
    <row r="20" spans="1:16" ht="30" x14ac:dyDescent="0.2">
      <c r="A20" s="163" t="s">
        <v>726</v>
      </c>
      <c r="B20" s="221" t="s">
        <v>727</v>
      </c>
      <c r="C20" s="213" t="s">
        <v>331</v>
      </c>
      <c r="D20" s="215">
        <v>4</v>
      </c>
      <c r="E20" s="213">
        <f>ROUND(13.75*1.2619,2)</f>
        <v>17.350000000000001</v>
      </c>
      <c r="F20" s="213">
        <f t="shared" si="0"/>
        <v>69.400000000000006</v>
      </c>
      <c r="G20" s="174"/>
    </row>
    <row r="21" spans="1:16" ht="30" x14ac:dyDescent="0.2">
      <c r="A21" s="163" t="s">
        <v>497</v>
      </c>
      <c r="B21" s="221" t="s">
        <v>728</v>
      </c>
      <c r="C21" s="213" t="s">
        <v>331</v>
      </c>
      <c r="D21" s="215">
        <v>4</v>
      </c>
      <c r="E21" s="213">
        <f>ROUND(45.99*1.2619,2)</f>
        <v>58.03</v>
      </c>
      <c r="F21" s="213">
        <f t="shared" si="0"/>
        <v>232.12</v>
      </c>
      <c r="G21" s="174"/>
    </row>
    <row r="22" spans="1:16" ht="45" x14ac:dyDescent="0.2">
      <c r="A22" s="163" t="s">
        <v>729</v>
      </c>
      <c r="B22" s="221" t="s">
        <v>730</v>
      </c>
      <c r="C22" s="213" t="s">
        <v>331</v>
      </c>
      <c r="D22" s="215">
        <v>1</v>
      </c>
      <c r="E22" s="213">
        <f>ROUND(107.32*1.2619,2)</f>
        <v>135.43</v>
      </c>
      <c r="F22" s="213">
        <f t="shared" si="0"/>
        <v>135.43</v>
      </c>
      <c r="G22" s="174"/>
      <c r="H22" s="174"/>
      <c r="P22" s="174"/>
    </row>
    <row r="23" spans="1:16" ht="60" x14ac:dyDescent="0.2">
      <c r="A23" s="163" t="s">
        <v>731</v>
      </c>
      <c r="B23" s="221" t="s">
        <v>732</v>
      </c>
      <c r="C23" s="213" t="s">
        <v>733</v>
      </c>
      <c r="D23" s="215">
        <v>2</v>
      </c>
      <c r="E23" s="213">
        <f>ROUND(928.74*1.2619,2)</f>
        <v>1171.98</v>
      </c>
      <c r="F23" s="213">
        <f t="shared" si="0"/>
        <v>2343.96</v>
      </c>
    </row>
    <row r="24" spans="1:16" ht="15" x14ac:dyDescent="0.2">
      <c r="A24" s="163" t="s">
        <v>734</v>
      </c>
      <c r="B24" s="221" t="s">
        <v>149</v>
      </c>
      <c r="C24" s="213" t="s">
        <v>38</v>
      </c>
      <c r="D24" s="215">
        <v>2</v>
      </c>
      <c r="E24" s="213">
        <f>ROUND(621.2*1.2619,2)</f>
        <v>783.89</v>
      </c>
      <c r="F24" s="213">
        <f t="shared" si="0"/>
        <v>1567.78</v>
      </c>
    </row>
    <row r="25" spans="1:16" ht="30" x14ac:dyDescent="0.2">
      <c r="A25" s="163" t="s">
        <v>415</v>
      </c>
      <c r="B25" s="216" t="s">
        <v>416</v>
      </c>
      <c r="C25" s="213" t="s">
        <v>348</v>
      </c>
      <c r="D25" s="215">
        <v>9</v>
      </c>
      <c r="E25" s="213">
        <f>ROUND(10.23*1.2619,2)</f>
        <v>12.91</v>
      </c>
      <c r="F25" s="213">
        <f t="shared" si="0"/>
        <v>116.19</v>
      </c>
    </row>
    <row r="26" spans="1:16" ht="15" x14ac:dyDescent="0.2">
      <c r="A26" s="163" t="s">
        <v>693</v>
      </c>
      <c r="B26" s="216" t="s">
        <v>571</v>
      </c>
      <c r="C26" s="213" t="s">
        <v>348</v>
      </c>
      <c r="D26" s="215">
        <v>9</v>
      </c>
      <c r="E26" s="267">
        <f>ROUND((5.34/1.309)*1.2619,2)</f>
        <v>5.15</v>
      </c>
      <c r="F26" s="213">
        <f t="shared" si="0"/>
        <v>46.35</v>
      </c>
    </row>
    <row r="27" spans="1:16" ht="15" x14ac:dyDescent="0.25">
      <c r="A27" s="162"/>
      <c r="B27" s="145"/>
      <c r="C27" s="144"/>
      <c r="D27" s="162"/>
      <c r="E27" s="268"/>
      <c r="F27" s="144"/>
    </row>
    <row r="28" spans="1:16" ht="15" x14ac:dyDescent="0.25">
      <c r="A28" s="162"/>
      <c r="B28" s="145"/>
      <c r="C28" s="144"/>
      <c r="D28" s="162"/>
      <c r="E28" s="166" t="s">
        <v>311</v>
      </c>
      <c r="F28" s="167">
        <f>SUM(F6:F26)</f>
        <v>5669.51</v>
      </c>
    </row>
    <row r="29" spans="1:16" ht="16.5" x14ac:dyDescent="0.25">
      <c r="A29" s="324"/>
      <c r="B29" s="325"/>
      <c r="C29" s="173"/>
      <c r="D29" s="324"/>
      <c r="E29" s="326"/>
    </row>
    <row r="30" spans="1:16" ht="16.5" x14ac:dyDescent="0.25">
      <c r="A30" s="324"/>
      <c r="B30" s="325"/>
      <c r="C30" s="173"/>
      <c r="D30" s="324"/>
      <c r="E30" s="326"/>
    </row>
    <row r="31" spans="1:16" ht="16.5" x14ac:dyDescent="0.25">
      <c r="A31" s="324"/>
      <c r="B31" s="325"/>
      <c r="C31" s="173"/>
      <c r="D31" s="324"/>
      <c r="E31" s="326"/>
    </row>
    <row r="32" spans="1:16" ht="16.5" x14ac:dyDescent="0.25">
      <c r="A32" s="324"/>
      <c r="B32" s="325"/>
      <c r="C32" s="173"/>
      <c r="D32" s="324"/>
      <c r="E32" s="326"/>
    </row>
    <row r="33" spans="1:5" ht="16.5" x14ac:dyDescent="0.25">
      <c r="A33" s="324"/>
      <c r="B33" s="325"/>
      <c r="C33" s="173"/>
      <c r="D33" s="324"/>
      <c r="E33" s="326"/>
    </row>
    <row r="34" spans="1:5" ht="16.5" x14ac:dyDescent="0.25">
      <c r="A34" s="324"/>
      <c r="B34" s="325"/>
      <c r="C34" s="173"/>
      <c r="D34" s="324"/>
      <c r="E34" s="326"/>
    </row>
    <row r="35" spans="1:5" ht="16.5" x14ac:dyDescent="0.25">
      <c r="A35" s="324"/>
      <c r="B35" s="325"/>
      <c r="C35" s="173"/>
      <c r="D35" s="324"/>
      <c r="E35" s="326"/>
    </row>
    <row r="36" spans="1:5" ht="16.5" x14ac:dyDescent="0.25">
      <c r="A36" s="324"/>
      <c r="B36" s="325"/>
      <c r="C36" s="173"/>
      <c r="D36" s="324"/>
      <c r="E36" s="326"/>
    </row>
    <row r="37" spans="1:5" ht="16.5" x14ac:dyDescent="0.25">
      <c r="A37" s="324"/>
      <c r="B37" s="325"/>
      <c r="C37" s="173"/>
      <c r="D37" s="324"/>
      <c r="E37" s="326"/>
    </row>
    <row r="38" spans="1:5" ht="16.5" x14ac:dyDescent="0.25">
      <c r="A38" s="324"/>
      <c r="B38" s="325"/>
      <c r="C38" s="173"/>
      <c r="D38" s="324"/>
      <c r="E38" s="326"/>
    </row>
    <row r="39" spans="1:5" ht="16.5" x14ac:dyDescent="0.25">
      <c r="A39" s="324"/>
      <c r="B39" s="325"/>
      <c r="C39" s="173"/>
      <c r="D39" s="324"/>
      <c r="E39" s="326"/>
    </row>
    <row r="40" spans="1:5" ht="16.5" x14ac:dyDescent="0.25">
      <c r="A40" s="324"/>
      <c r="B40" s="325"/>
      <c r="C40" s="173"/>
      <c r="D40" s="324"/>
      <c r="E40" s="326"/>
    </row>
    <row r="41" spans="1:5" ht="16.5" x14ac:dyDescent="0.25">
      <c r="A41" s="168"/>
      <c r="B41" s="169"/>
      <c r="C41" s="170"/>
      <c r="D41" s="324"/>
      <c r="E41" s="326"/>
    </row>
    <row r="42" spans="1:5" ht="16.5" x14ac:dyDescent="0.25">
      <c r="A42" s="324"/>
      <c r="B42" s="325"/>
      <c r="C42" s="173"/>
      <c r="D42" s="324"/>
      <c r="E42" s="326"/>
    </row>
    <row r="43" spans="1:5" ht="16.5" x14ac:dyDescent="0.2">
      <c r="A43" s="192"/>
      <c r="B43" s="193"/>
      <c r="C43" s="194"/>
      <c r="D43" s="192"/>
      <c r="E43" s="327"/>
    </row>
  </sheetData>
  <mergeCells count="3">
    <mergeCell ref="A1:F1"/>
    <mergeCell ref="B3:F3"/>
    <mergeCell ref="A4:F4"/>
  </mergeCells>
  <printOptions horizontalCentered="1"/>
  <pageMargins left="0.39370078740157483" right="0.39370078740157483" top="0.39370078740157483" bottom="0.39370078740157483" header="0" footer="0"/>
  <pageSetup paperSize="9" scale="75" orientation="portrait" horizontalDpi="300" verticalDpi="300" r:id="rId1"/>
  <headerFooter alignWithMargins="0">
    <oddHeader>&amp;L&amp;"Arial,Itálico"&amp;11HISTÓRICOS ORÇAMENTÁRIOS</oddHeader>
    <oddFooter>&amp;RPágina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showGridLines="0" view="pageBreakPreview" topLeftCell="A16" zoomScaleNormal="80" zoomScaleSheetLayoutView="100" workbookViewId="0">
      <selection activeCell="E7" sqref="E7"/>
    </sheetView>
  </sheetViews>
  <sheetFormatPr defaultRowHeight="12.75" x14ac:dyDescent="0.2"/>
  <cols>
    <col min="1" max="1" width="13.28515625" style="328" customWidth="1"/>
    <col min="2" max="2" width="52.28515625" style="328" customWidth="1"/>
    <col min="3" max="3" width="13" style="328" customWidth="1"/>
    <col min="4" max="4" width="8.85546875" style="328" customWidth="1"/>
    <col min="5" max="5" width="10.85546875" style="328" customWidth="1"/>
    <col min="6" max="6" width="12.28515625" style="328" customWidth="1"/>
    <col min="7" max="7" width="9.140625" style="328"/>
    <col min="8" max="8" width="111.85546875" style="328" customWidth="1"/>
    <col min="9" max="16384" width="9.140625" style="328"/>
  </cols>
  <sheetData>
    <row r="1" spans="1:8" ht="29.25" customHeight="1" x14ac:dyDescent="0.2">
      <c r="A1" s="461" t="s">
        <v>735</v>
      </c>
      <c r="B1" s="461"/>
      <c r="C1" s="461"/>
      <c r="D1" s="461"/>
      <c r="E1" s="461"/>
    </row>
    <row r="2" spans="1:8" s="329" customFormat="1" ht="50.25" customHeight="1" x14ac:dyDescent="0.2">
      <c r="A2" s="147" t="s">
        <v>736</v>
      </c>
      <c r="B2" s="448" t="s">
        <v>737</v>
      </c>
      <c r="C2" s="448"/>
      <c r="D2" s="448"/>
      <c r="E2" s="448"/>
      <c r="F2" s="448"/>
    </row>
    <row r="3" spans="1:8" s="329" customFormat="1" ht="18.75" customHeight="1" x14ac:dyDescent="0.2">
      <c r="A3" s="159"/>
      <c r="B3" s="330"/>
      <c r="C3" s="159"/>
      <c r="E3" s="159"/>
    </row>
    <row r="4" spans="1:8" s="329" customFormat="1" ht="15.75" customHeight="1" x14ac:dyDescent="0.2">
      <c r="A4" s="147" t="s">
        <v>306</v>
      </c>
      <c r="B4" s="148" t="s">
        <v>307</v>
      </c>
      <c r="C4" s="148" t="s">
        <v>308</v>
      </c>
      <c r="D4" s="148" t="s">
        <v>309</v>
      </c>
      <c r="E4" s="148" t="s">
        <v>310</v>
      </c>
      <c r="F4" s="148" t="s">
        <v>311</v>
      </c>
    </row>
    <row r="5" spans="1:8" s="329" customFormat="1" ht="30" x14ac:dyDescent="0.2">
      <c r="A5" s="213" t="s">
        <v>158</v>
      </c>
      <c r="B5" s="211" t="s">
        <v>738</v>
      </c>
      <c r="C5" s="213" t="s">
        <v>331</v>
      </c>
      <c r="D5" s="215">
        <v>1</v>
      </c>
      <c r="E5" s="286">
        <v>5999</v>
      </c>
      <c r="F5" s="286">
        <f>D5*E5</f>
        <v>5999</v>
      </c>
      <c r="H5" s="329" t="s">
        <v>739</v>
      </c>
    </row>
    <row r="6" spans="1:8" s="329" customFormat="1" ht="36.75" customHeight="1" x14ac:dyDescent="0.2">
      <c r="A6" s="163" t="s">
        <v>740</v>
      </c>
      <c r="B6" s="211" t="s">
        <v>143</v>
      </c>
      <c r="C6" s="213" t="s">
        <v>27</v>
      </c>
      <c r="D6" s="215">
        <v>5</v>
      </c>
      <c r="E6" s="286">
        <f>ROUND(11.56*1.2619,2)</f>
        <v>14.59</v>
      </c>
      <c r="F6" s="331">
        <f t="shared" ref="F6:F17" si="0">D6*E6</f>
        <v>72.95</v>
      </c>
    </row>
    <row r="7" spans="1:8" s="329" customFormat="1" ht="30" customHeight="1" x14ac:dyDescent="0.2">
      <c r="A7" s="163" t="s">
        <v>741</v>
      </c>
      <c r="B7" s="211" t="s">
        <v>742</v>
      </c>
      <c r="C7" s="213" t="s">
        <v>27</v>
      </c>
      <c r="D7" s="215">
        <v>1</v>
      </c>
      <c r="E7" s="286">
        <f>ROUND(33.89*1.2619,2)</f>
        <v>42.77</v>
      </c>
      <c r="F7" s="331">
        <f t="shared" si="0"/>
        <v>42.77</v>
      </c>
    </row>
    <row r="8" spans="1:8" s="329" customFormat="1" ht="30" x14ac:dyDescent="0.2">
      <c r="A8" s="163" t="s">
        <v>639</v>
      </c>
      <c r="B8" s="211" t="s">
        <v>650</v>
      </c>
      <c r="C8" s="213" t="s">
        <v>27</v>
      </c>
      <c r="D8" s="215">
        <v>4</v>
      </c>
      <c r="E8" s="286">
        <f>ROUND(53.38*1.2619,2)</f>
        <v>67.36</v>
      </c>
      <c r="F8" s="331">
        <f t="shared" si="0"/>
        <v>269.44</v>
      </c>
    </row>
    <row r="9" spans="1:8" s="329" customFormat="1" ht="34.5" customHeight="1" x14ac:dyDescent="0.2">
      <c r="A9" s="163" t="s">
        <v>743</v>
      </c>
      <c r="B9" s="184" t="s">
        <v>744</v>
      </c>
      <c r="C9" s="213" t="s">
        <v>331</v>
      </c>
      <c r="D9" s="256">
        <v>1</v>
      </c>
      <c r="E9" s="286">
        <f>ROUND(11.04*1.2619,2)</f>
        <v>13.93</v>
      </c>
      <c r="F9" s="331">
        <f t="shared" si="0"/>
        <v>13.93</v>
      </c>
    </row>
    <row r="10" spans="1:8" s="329" customFormat="1" ht="30" x14ac:dyDescent="0.2">
      <c r="A10" s="163" t="s">
        <v>745</v>
      </c>
      <c r="B10" s="211" t="s">
        <v>746</v>
      </c>
      <c r="C10" s="213" t="s">
        <v>331</v>
      </c>
      <c r="D10" s="215">
        <v>2</v>
      </c>
      <c r="E10" s="286">
        <f>ROUND(32.69*1.2619,2)</f>
        <v>41.25</v>
      </c>
      <c r="F10" s="331">
        <f t="shared" si="0"/>
        <v>82.5</v>
      </c>
    </row>
    <row r="11" spans="1:8" s="329" customFormat="1" ht="30" x14ac:dyDescent="0.2">
      <c r="A11" s="163" t="s">
        <v>747</v>
      </c>
      <c r="B11" s="211" t="s">
        <v>476</v>
      </c>
      <c r="C11" s="213" t="s">
        <v>331</v>
      </c>
      <c r="D11" s="215">
        <v>2</v>
      </c>
      <c r="E11" s="286">
        <f>ROUND(33.6*1.2619,2)</f>
        <v>42.4</v>
      </c>
      <c r="F11" s="331">
        <f t="shared" si="0"/>
        <v>84.8</v>
      </c>
    </row>
    <row r="12" spans="1:8" s="329" customFormat="1" ht="45" x14ac:dyDescent="0.2">
      <c r="A12" s="163" t="s">
        <v>748</v>
      </c>
      <c r="B12" s="211" t="s">
        <v>749</v>
      </c>
      <c r="C12" s="213" t="s">
        <v>331</v>
      </c>
      <c r="D12" s="215">
        <v>2</v>
      </c>
      <c r="E12" s="286">
        <f>ROUND(25.79*1.2619,2)</f>
        <v>32.54</v>
      </c>
      <c r="F12" s="331">
        <f t="shared" si="0"/>
        <v>65.08</v>
      </c>
    </row>
    <row r="13" spans="1:8" s="329" customFormat="1" ht="30" x14ac:dyDescent="0.2">
      <c r="A13" s="163" t="s">
        <v>724</v>
      </c>
      <c r="B13" s="224" t="s">
        <v>725</v>
      </c>
      <c r="C13" s="213" t="s">
        <v>331</v>
      </c>
      <c r="D13" s="256">
        <v>2</v>
      </c>
      <c r="E13" s="286">
        <f>ROUND(17.33*1.2619,2)</f>
        <v>21.87</v>
      </c>
      <c r="F13" s="331">
        <f t="shared" si="0"/>
        <v>43.74</v>
      </c>
    </row>
    <row r="14" spans="1:8" s="329" customFormat="1" ht="30" x14ac:dyDescent="0.2">
      <c r="A14" s="163" t="s">
        <v>640</v>
      </c>
      <c r="B14" s="164" t="s">
        <v>641</v>
      </c>
      <c r="C14" s="182" t="s">
        <v>331</v>
      </c>
      <c r="D14" s="183">
        <v>1</v>
      </c>
      <c r="E14" s="286">
        <f>ROUND(144*1.2619,2)</f>
        <v>181.71</v>
      </c>
      <c r="F14" s="331">
        <f t="shared" si="0"/>
        <v>181.71</v>
      </c>
    </row>
    <row r="15" spans="1:8" s="329" customFormat="1" ht="30" x14ac:dyDescent="0.2">
      <c r="A15" s="163" t="s">
        <v>404</v>
      </c>
      <c r="B15" s="164" t="s">
        <v>405</v>
      </c>
      <c r="C15" s="182" t="s">
        <v>331</v>
      </c>
      <c r="D15" s="183">
        <v>2</v>
      </c>
      <c r="E15" s="286">
        <f>ROUND(80.88*1.2619,2)</f>
        <v>102.06</v>
      </c>
      <c r="F15" s="331">
        <f t="shared" si="0"/>
        <v>204.12</v>
      </c>
    </row>
    <row r="16" spans="1:8" s="329" customFormat="1" ht="30" x14ac:dyDescent="0.2">
      <c r="A16" s="287" t="s">
        <v>415</v>
      </c>
      <c r="B16" s="142" t="s">
        <v>416</v>
      </c>
      <c r="C16" s="182" t="s">
        <v>348</v>
      </c>
      <c r="D16" s="215">
        <v>4</v>
      </c>
      <c r="E16" s="286">
        <f>ROUND(10.23*1.2619,2)</f>
        <v>12.91</v>
      </c>
      <c r="F16" s="331">
        <f t="shared" si="0"/>
        <v>51.64</v>
      </c>
    </row>
    <row r="17" spans="1:6" s="329" customFormat="1" ht="15" x14ac:dyDescent="0.2">
      <c r="A17" s="287" t="s">
        <v>693</v>
      </c>
      <c r="B17" s="157" t="s">
        <v>571</v>
      </c>
      <c r="C17" s="182" t="s">
        <v>348</v>
      </c>
      <c r="D17" s="215">
        <v>1</v>
      </c>
      <c r="E17" s="286">
        <v>5.34</v>
      </c>
      <c r="F17" s="331">
        <f t="shared" si="0"/>
        <v>5.34</v>
      </c>
    </row>
    <row r="18" spans="1:6" s="329" customFormat="1" ht="33" customHeight="1" x14ac:dyDescent="0.2">
      <c r="A18" s="287" t="s">
        <v>695</v>
      </c>
      <c r="B18" s="142" t="s">
        <v>696</v>
      </c>
      <c r="C18" s="213" t="s">
        <v>348</v>
      </c>
      <c r="D18" s="215">
        <v>4</v>
      </c>
      <c r="E18" s="286">
        <f>ROUND((10.71/1.309)*1.2619,2)</f>
        <v>10.32</v>
      </c>
      <c r="F18" s="331">
        <f>D18*E18</f>
        <v>41.28</v>
      </c>
    </row>
    <row r="19" spans="1:6" s="329" customFormat="1" ht="24.75" customHeight="1" x14ac:dyDescent="0.2">
      <c r="E19" s="166" t="s">
        <v>311</v>
      </c>
      <c r="F19" s="166">
        <f>SUM(F5:F18)</f>
        <v>7158.3</v>
      </c>
    </row>
    <row r="20" spans="1:6" ht="24.75" customHeight="1" x14ac:dyDescent="0.2"/>
    <row r="21" spans="1:6" ht="24.75" customHeight="1" x14ac:dyDescent="0.2"/>
    <row r="22" spans="1:6" ht="24.75" customHeight="1" x14ac:dyDescent="0.2"/>
    <row r="23" spans="1:6" ht="24.75" customHeight="1" x14ac:dyDescent="0.2"/>
    <row r="24" spans="1:6" ht="24.75" customHeight="1" x14ac:dyDescent="0.2"/>
    <row r="25" spans="1:6" ht="24.75" customHeight="1" x14ac:dyDescent="0.2"/>
    <row r="26" spans="1:6" ht="24.75" customHeight="1" x14ac:dyDescent="0.2"/>
    <row r="27" spans="1:6" ht="24.75" customHeight="1" x14ac:dyDescent="0.2"/>
    <row r="28" spans="1:6" ht="24.75" customHeight="1" x14ac:dyDescent="0.2"/>
    <row r="29" spans="1:6" ht="24.75" customHeight="1" x14ac:dyDescent="0.2"/>
    <row r="30" spans="1:6" ht="24.75" customHeight="1" x14ac:dyDescent="0.2"/>
    <row r="31" spans="1:6" ht="24.75" customHeight="1" x14ac:dyDescent="0.2"/>
    <row r="32" spans="1:6" ht="24.75" customHeight="1" x14ac:dyDescent="0.2"/>
    <row r="33" ht="24.75" customHeight="1" x14ac:dyDescent="0.2"/>
  </sheetData>
  <mergeCells count="2">
    <mergeCell ref="A1:E1"/>
    <mergeCell ref="B2:F2"/>
  </mergeCells>
  <printOptions horizontalCentered="1"/>
  <pageMargins left="0.39370078740157483" right="0.39370078740157483" top="0.39370078740157483" bottom="0.39370078740157483" header="0" footer="0"/>
  <pageSetup paperSize="9" scale="80" orientation="portrait" r:id="rId1"/>
  <headerFooter alignWithMargins="0">
    <oddHeader>&amp;L&amp;"Arial,Itálico"&amp;11HISTÓRICOS ORÇAMENTÁRIOS</oddHeader>
    <oddFooter>&amp;RPágina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view="pageBreakPreview" topLeftCell="A10" zoomScaleNormal="80" zoomScaleSheetLayoutView="100" workbookViewId="0">
      <selection activeCell="F17" sqref="F17"/>
    </sheetView>
  </sheetViews>
  <sheetFormatPr defaultRowHeight="12.75" x14ac:dyDescent="0.2"/>
  <cols>
    <col min="1" max="1" width="11.7109375" style="143" customWidth="1"/>
    <col min="2" max="2" width="48.42578125" style="143" customWidth="1"/>
    <col min="3" max="5" width="9.140625" style="143"/>
    <col min="6" max="6" width="11.28515625" style="143" customWidth="1"/>
    <col min="7" max="16384" width="9.140625" style="143"/>
  </cols>
  <sheetData>
    <row r="1" spans="1:17" ht="38.25" customHeight="1" x14ac:dyDescent="0.2">
      <c r="A1" s="452" t="s">
        <v>93</v>
      </c>
      <c r="B1" s="452"/>
      <c r="C1" s="452"/>
      <c r="D1" s="452"/>
      <c r="E1" s="452"/>
      <c r="F1" s="452"/>
      <c r="L1" s="236"/>
      <c r="M1" s="237"/>
      <c r="N1" s="238"/>
      <c r="O1" s="239"/>
    </row>
    <row r="2" spans="1:17" ht="15" x14ac:dyDescent="0.2">
      <c r="A2" s="157"/>
      <c r="B2" s="157"/>
      <c r="C2" s="320"/>
      <c r="D2" s="321"/>
      <c r="E2" s="157"/>
      <c r="F2" s="157"/>
      <c r="L2" s="236"/>
      <c r="M2" s="237"/>
      <c r="N2" s="238"/>
      <c r="O2" s="239"/>
    </row>
    <row r="3" spans="1:17" ht="27" customHeight="1" x14ac:dyDescent="0.2">
      <c r="A3" s="322" t="s">
        <v>750</v>
      </c>
      <c r="B3" s="448" t="s">
        <v>93</v>
      </c>
      <c r="C3" s="448"/>
      <c r="D3" s="448"/>
      <c r="E3" s="448"/>
      <c r="F3" s="448"/>
      <c r="L3" s="243"/>
      <c r="M3" s="239"/>
      <c r="N3" s="238"/>
      <c r="O3" s="239"/>
    </row>
    <row r="4" spans="1:17" ht="15" x14ac:dyDescent="0.2">
      <c r="A4" s="462"/>
      <c r="B4" s="462"/>
      <c r="C4" s="462"/>
      <c r="D4" s="462"/>
      <c r="E4" s="462"/>
      <c r="F4" s="462"/>
      <c r="K4" s="332"/>
      <c r="L4" s="243"/>
      <c r="M4" s="239"/>
      <c r="N4" s="238"/>
      <c r="O4" s="239"/>
      <c r="P4" s="332"/>
      <c r="Q4" s="332"/>
    </row>
    <row r="5" spans="1:17" ht="14.25" x14ac:dyDescent="0.2">
      <c r="A5" s="147" t="s">
        <v>306</v>
      </c>
      <c r="B5" s="148" t="s">
        <v>307</v>
      </c>
      <c r="C5" s="148" t="s">
        <v>308</v>
      </c>
      <c r="D5" s="148" t="s">
        <v>309</v>
      </c>
      <c r="E5" s="148" t="s">
        <v>310</v>
      </c>
      <c r="F5" s="148" t="s">
        <v>311</v>
      </c>
      <c r="K5" s="332"/>
      <c r="L5" s="236"/>
      <c r="M5" s="239"/>
      <c r="N5" s="238"/>
      <c r="O5" s="239"/>
      <c r="P5" s="332"/>
      <c r="Q5" s="332"/>
    </row>
    <row r="6" spans="1:17" ht="45" x14ac:dyDescent="0.2">
      <c r="A6" s="154" t="s">
        <v>475</v>
      </c>
      <c r="B6" s="221" t="s">
        <v>476</v>
      </c>
      <c r="C6" s="151" t="s">
        <v>38</v>
      </c>
      <c r="D6" s="152">
        <v>3</v>
      </c>
      <c r="E6" s="286">
        <f>ROUND(33.6*1.2619,2)</f>
        <v>42.4</v>
      </c>
      <c r="F6" s="213">
        <f t="shared" ref="F6:F16" si="0">ROUND(D6*E6,2)</f>
        <v>127.2</v>
      </c>
      <c r="G6" s="174"/>
      <c r="K6" s="332"/>
      <c r="L6" s="243"/>
      <c r="M6" s="239"/>
      <c r="N6" s="238"/>
      <c r="O6" s="239"/>
      <c r="P6" s="332"/>
      <c r="Q6" s="332"/>
    </row>
    <row r="7" spans="1:17" ht="30" x14ac:dyDescent="0.2">
      <c r="A7" s="219" t="s">
        <v>748</v>
      </c>
      <c r="B7" s="221" t="s">
        <v>751</v>
      </c>
      <c r="C7" s="151" t="s">
        <v>38</v>
      </c>
      <c r="D7" s="222">
        <v>3</v>
      </c>
      <c r="E7" s="286">
        <f>ROUND(25.79*1.2619,2)</f>
        <v>32.54</v>
      </c>
      <c r="F7" s="213">
        <f t="shared" si="0"/>
        <v>97.62</v>
      </c>
      <c r="H7" s="174"/>
      <c r="K7" s="332"/>
      <c r="L7" s="245"/>
      <c r="M7" s="246"/>
      <c r="N7" s="247"/>
      <c r="O7" s="247"/>
      <c r="P7" s="332"/>
      <c r="Q7" s="332"/>
    </row>
    <row r="8" spans="1:17" ht="30" x14ac:dyDescent="0.2">
      <c r="A8" s="219" t="s">
        <v>752</v>
      </c>
      <c r="B8" s="221" t="s">
        <v>753</v>
      </c>
      <c r="C8" s="151" t="s">
        <v>38</v>
      </c>
      <c r="D8" s="222">
        <v>7</v>
      </c>
      <c r="E8" s="286">
        <f>ROUND(12.73*1.2619,2)</f>
        <v>16.059999999999999</v>
      </c>
      <c r="F8" s="213">
        <f t="shared" si="0"/>
        <v>112.42</v>
      </c>
      <c r="G8" s="174"/>
      <c r="K8" s="332"/>
      <c r="L8" s="333"/>
      <c r="M8" s="334"/>
      <c r="N8" s="334"/>
      <c r="O8" s="334"/>
      <c r="P8" s="332"/>
      <c r="Q8" s="332"/>
    </row>
    <row r="9" spans="1:17" ht="45" x14ac:dyDescent="0.2">
      <c r="A9" s="163" t="s">
        <v>656</v>
      </c>
      <c r="B9" s="221" t="s">
        <v>657</v>
      </c>
      <c r="C9" s="151" t="s">
        <v>38</v>
      </c>
      <c r="D9" s="215">
        <v>4</v>
      </c>
      <c r="E9" s="286">
        <f>ROUND(8.04*1.2619,2)</f>
        <v>10.15</v>
      </c>
      <c r="F9" s="213">
        <f t="shared" si="0"/>
        <v>40.6</v>
      </c>
      <c r="G9" s="174"/>
      <c r="K9" s="332"/>
      <c r="L9" s="252"/>
      <c r="M9" s="255"/>
      <c r="N9" s="254"/>
      <c r="O9" s="250"/>
      <c r="P9" s="332"/>
      <c r="Q9" s="332"/>
    </row>
    <row r="10" spans="1:17" ht="30" x14ac:dyDescent="0.2">
      <c r="A10" s="163" t="s">
        <v>754</v>
      </c>
      <c r="B10" s="221" t="s">
        <v>753</v>
      </c>
      <c r="C10" s="151" t="s">
        <v>38</v>
      </c>
      <c r="D10" s="215">
        <v>1</v>
      </c>
      <c r="E10" s="286">
        <f>ROUND(12.73*1.2619,2)</f>
        <v>16.059999999999999</v>
      </c>
      <c r="F10" s="213">
        <f t="shared" si="0"/>
        <v>16.059999999999999</v>
      </c>
      <c r="G10" s="174"/>
      <c r="K10" s="332"/>
      <c r="L10" s="252"/>
      <c r="M10" s="253"/>
      <c r="N10" s="237"/>
      <c r="O10" s="258"/>
      <c r="P10" s="332"/>
      <c r="Q10" s="332"/>
    </row>
    <row r="11" spans="1:17" ht="30" x14ac:dyDescent="0.2">
      <c r="A11" s="163" t="s">
        <v>404</v>
      </c>
      <c r="B11" s="221" t="s">
        <v>405</v>
      </c>
      <c r="C11" s="151" t="s">
        <v>38</v>
      </c>
      <c r="D11" s="215">
        <v>2</v>
      </c>
      <c r="E11" s="286">
        <f>ROUND(80.88*1.2619,2)</f>
        <v>102.06</v>
      </c>
      <c r="F11" s="213">
        <f t="shared" si="0"/>
        <v>204.12</v>
      </c>
      <c r="G11" s="174"/>
      <c r="K11" s="332"/>
      <c r="L11" s="333"/>
      <c r="M11" s="334"/>
      <c r="N11" s="334"/>
      <c r="O11" s="334"/>
      <c r="P11" s="332"/>
      <c r="Q11" s="332"/>
    </row>
    <row r="12" spans="1:17" ht="33.75" customHeight="1" x14ac:dyDescent="0.2">
      <c r="A12" s="163" t="s">
        <v>741</v>
      </c>
      <c r="B12" s="216" t="s">
        <v>755</v>
      </c>
      <c r="C12" s="213" t="s">
        <v>27</v>
      </c>
      <c r="D12" s="215">
        <v>1.5</v>
      </c>
      <c r="E12" s="286">
        <f>ROUND(33.89*1.2619,2)</f>
        <v>42.77</v>
      </c>
      <c r="F12" s="213">
        <f t="shared" si="0"/>
        <v>64.16</v>
      </c>
      <c r="G12" s="174"/>
      <c r="K12" s="332"/>
      <c r="L12" s="252"/>
      <c r="M12" s="255"/>
      <c r="N12" s="254"/>
      <c r="O12" s="250"/>
      <c r="P12" s="332"/>
      <c r="Q12" s="332"/>
    </row>
    <row r="13" spans="1:17" ht="22.5" customHeight="1" x14ac:dyDescent="0.2">
      <c r="A13" s="163" t="s">
        <v>158</v>
      </c>
      <c r="B13" s="216" t="s">
        <v>756</v>
      </c>
      <c r="C13" s="213" t="s">
        <v>27</v>
      </c>
      <c r="D13" s="215">
        <v>36</v>
      </c>
      <c r="E13" s="213">
        <v>5.66</v>
      </c>
      <c r="F13" s="213">
        <f t="shared" si="0"/>
        <v>203.76</v>
      </c>
      <c r="K13" s="332"/>
      <c r="L13" s="252"/>
      <c r="M13" s="255"/>
      <c r="N13" s="254"/>
      <c r="O13" s="250"/>
      <c r="P13" s="332"/>
      <c r="Q13" s="332"/>
    </row>
    <row r="14" spans="1:17" ht="30" x14ac:dyDescent="0.2">
      <c r="A14" s="163" t="s">
        <v>757</v>
      </c>
      <c r="B14" s="221" t="s">
        <v>758</v>
      </c>
      <c r="C14" s="213" t="s">
        <v>38</v>
      </c>
      <c r="D14" s="215">
        <v>2</v>
      </c>
      <c r="E14" s="286">
        <f>ROUND(0.52*1.2619,2)</f>
        <v>0.66</v>
      </c>
      <c r="F14" s="213">
        <f t="shared" si="0"/>
        <v>1.32</v>
      </c>
      <c r="H14" s="174"/>
      <c r="K14" s="332"/>
      <c r="L14" s="252"/>
      <c r="M14" s="253"/>
      <c r="N14" s="237"/>
      <c r="O14" s="258"/>
      <c r="P14" s="332"/>
      <c r="Q14" s="332"/>
    </row>
    <row r="15" spans="1:17" ht="30" x14ac:dyDescent="0.2">
      <c r="A15" s="163" t="s">
        <v>415</v>
      </c>
      <c r="B15" s="216" t="s">
        <v>416</v>
      </c>
      <c r="C15" s="213" t="s">
        <v>348</v>
      </c>
      <c r="D15" s="215">
        <v>20</v>
      </c>
      <c r="E15" s="213">
        <f>ROUND(10.23*1.2619,2)</f>
        <v>12.91</v>
      </c>
      <c r="F15" s="213">
        <f t="shared" si="0"/>
        <v>258.2</v>
      </c>
      <c r="K15" s="332"/>
      <c r="L15" s="332"/>
      <c r="M15" s="332"/>
      <c r="N15" s="332"/>
      <c r="O15" s="332"/>
      <c r="P15" s="332"/>
      <c r="Q15" s="332"/>
    </row>
    <row r="16" spans="1:17" ht="15" x14ac:dyDescent="0.2">
      <c r="A16" s="163" t="s">
        <v>693</v>
      </c>
      <c r="B16" s="216" t="s">
        <v>547</v>
      </c>
      <c r="C16" s="213" t="s">
        <v>348</v>
      </c>
      <c r="D16" s="215">
        <v>2</v>
      </c>
      <c r="E16" s="213">
        <f>ROUND(8.81*1.2619,2)</f>
        <v>11.12</v>
      </c>
      <c r="F16" s="213">
        <f t="shared" si="0"/>
        <v>22.24</v>
      </c>
    </row>
    <row r="17" spans="1:6" ht="15" x14ac:dyDescent="0.2">
      <c r="A17" s="182"/>
      <c r="B17" s="163"/>
      <c r="C17" s="157"/>
      <c r="D17" s="182"/>
      <c r="E17" s="335"/>
      <c r="F17" s="157"/>
    </row>
    <row r="18" spans="1:6" ht="15" x14ac:dyDescent="0.2">
      <c r="A18" s="182"/>
      <c r="B18" s="163"/>
      <c r="C18" s="157"/>
      <c r="D18" s="182"/>
      <c r="E18" s="166" t="s">
        <v>311</v>
      </c>
      <c r="F18" s="190">
        <f>SUM(F6:F16)</f>
        <v>1147.7</v>
      </c>
    </row>
  </sheetData>
  <mergeCells count="3">
    <mergeCell ref="A1:F1"/>
    <mergeCell ref="B3:F3"/>
    <mergeCell ref="A4:F4"/>
  </mergeCells>
  <pageMargins left="0.51181102362204722" right="0.51181102362204722" top="0.78740157480314965" bottom="0.78740157480314965" header="0.31496062992125984" footer="0.31496062992125984"/>
  <pageSetup paperSize="9" scale="95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7"/>
  <sheetViews>
    <sheetView view="pageBreakPreview" zoomScaleNormal="100" zoomScaleSheetLayoutView="100" workbookViewId="0">
      <pane xSplit="12" ySplit="4" topLeftCell="N5" activePane="bottomRight" state="frozen"/>
      <selection pane="topRight" activeCell="M1" sqref="M1"/>
      <selection pane="bottomLeft" activeCell="A5" sqref="A5"/>
      <selection pane="bottomRight" activeCell="D130" sqref="D130"/>
    </sheetView>
  </sheetViews>
  <sheetFormatPr defaultRowHeight="12.75" x14ac:dyDescent="0.2"/>
  <cols>
    <col min="1" max="1" width="8.28515625" style="40" customWidth="1"/>
    <col min="2" max="2" width="60" style="3" customWidth="1"/>
    <col min="3" max="3" width="9.85546875" style="40" customWidth="1"/>
    <col min="4" max="4" width="10.42578125" style="41" customWidth="1"/>
    <col min="5" max="5" width="12.5703125" style="41" customWidth="1"/>
    <col min="6" max="6" width="10.7109375" style="41" customWidth="1"/>
    <col min="7" max="8" width="9.140625" style="41"/>
    <col min="9" max="9" width="10" style="41" customWidth="1"/>
    <col min="10" max="11" width="14.28515625" style="41" customWidth="1"/>
    <col min="12" max="12" width="10.5703125" style="42" customWidth="1"/>
    <col min="13" max="16384" width="9.140625" style="3"/>
  </cols>
  <sheetData>
    <row r="1" spans="1:13" ht="13.5" x14ac:dyDescent="0.2">
      <c r="A1" s="418" t="s">
        <v>243</v>
      </c>
      <c r="B1" s="418"/>
      <c r="C1" s="418"/>
      <c r="D1" s="418"/>
      <c r="E1" s="419"/>
      <c r="F1" s="420" t="s">
        <v>231</v>
      </c>
      <c r="G1" s="420"/>
      <c r="H1" s="420"/>
      <c r="I1" s="420"/>
      <c r="J1" s="420"/>
      <c r="K1" s="421"/>
      <c r="L1" s="422"/>
    </row>
    <row r="2" spans="1:13" ht="13.5" x14ac:dyDescent="0.2">
      <c r="A2" s="418" t="s">
        <v>244</v>
      </c>
      <c r="B2" s="418"/>
      <c r="C2" s="418"/>
      <c r="D2" s="418"/>
      <c r="E2" s="419"/>
      <c r="F2" s="423"/>
      <c r="G2" s="423"/>
      <c r="H2" s="423"/>
      <c r="I2" s="423"/>
      <c r="J2" s="423"/>
      <c r="K2" s="424"/>
      <c r="L2" s="425"/>
    </row>
    <row r="3" spans="1:13" ht="13.5" x14ac:dyDescent="0.2">
      <c r="A3" s="418" t="s">
        <v>245</v>
      </c>
      <c r="B3" s="418"/>
      <c r="C3" s="418"/>
      <c r="D3" s="418"/>
      <c r="E3" s="419"/>
      <c r="F3" s="423"/>
      <c r="G3" s="423"/>
      <c r="H3" s="423"/>
      <c r="I3" s="423"/>
      <c r="J3" s="423"/>
      <c r="K3" s="424"/>
      <c r="L3" s="425"/>
    </row>
    <row r="4" spans="1:13" s="43" customFormat="1" ht="24.75" customHeight="1" x14ac:dyDescent="0.2">
      <c r="A4" s="52" t="s">
        <v>4</v>
      </c>
      <c r="B4" s="53" t="s">
        <v>232</v>
      </c>
      <c r="C4" s="53" t="s">
        <v>233</v>
      </c>
      <c r="D4" s="53" t="s">
        <v>234</v>
      </c>
      <c r="E4" s="53" t="s">
        <v>235</v>
      </c>
      <c r="F4" s="53" t="s">
        <v>236</v>
      </c>
      <c r="G4" s="53" t="s">
        <v>237</v>
      </c>
      <c r="H4" s="53" t="s">
        <v>238</v>
      </c>
      <c r="I4" s="53" t="s">
        <v>239</v>
      </c>
      <c r="J4" s="53" t="s">
        <v>240</v>
      </c>
      <c r="K4" s="53" t="s">
        <v>257</v>
      </c>
      <c r="L4" s="53" t="s">
        <v>241</v>
      </c>
    </row>
    <row r="5" spans="1:13" s="44" customFormat="1" x14ac:dyDescent="0.2">
      <c r="A5" s="54" t="s">
        <v>242</v>
      </c>
      <c r="B5" s="55" t="str">
        <f>PLANILHA!D8</f>
        <v>CANTEIRO DE OBRAS</v>
      </c>
      <c r="C5" s="56"/>
      <c r="D5" s="57"/>
      <c r="E5" s="57"/>
      <c r="F5" s="57"/>
      <c r="G5" s="57"/>
      <c r="H5" s="57"/>
      <c r="I5" s="57"/>
      <c r="J5" s="57"/>
      <c r="K5" s="57"/>
      <c r="L5" s="58"/>
    </row>
    <row r="6" spans="1:13" x14ac:dyDescent="0.2">
      <c r="A6" s="45" t="s">
        <v>15</v>
      </c>
      <c r="B6" s="46" t="str">
        <f>PLANILHA!D9</f>
        <v>CONTAINER ESCRITORIO DE 6,0X2,4M C/ BANH</v>
      </c>
      <c r="C6" s="45" t="s">
        <v>233</v>
      </c>
      <c r="D6" s="47">
        <v>1</v>
      </c>
      <c r="E6" s="47" t="s">
        <v>246</v>
      </c>
      <c r="F6" s="47" t="s">
        <v>246</v>
      </c>
      <c r="G6" s="47" t="s">
        <v>246</v>
      </c>
      <c r="H6" s="47" t="s">
        <v>246</v>
      </c>
      <c r="I6" s="47" t="s">
        <v>246</v>
      </c>
      <c r="J6" s="47" t="s">
        <v>246</v>
      </c>
      <c r="K6" s="47" t="s">
        <v>246</v>
      </c>
      <c r="L6" s="48">
        <f>D6</f>
        <v>1</v>
      </c>
    </row>
    <row r="7" spans="1:13" x14ac:dyDescent="0.2">
      <c r="A7" s="49" t="s">
        <v>26</v>
      </c>
      <c r="B7" s="34" t="str">
        <f>PLANILHA!D10</f>
        <v>CONTAINER DEPOSITO MAT 6,0X2,4M S/ BANH</v>
      </c>
      <c r="C7" s="49" t="s">
        <v>233</v>
      </c>
      <c r="D7" s="50">
        <v>1</v>
      </c>
      <c r="E7" s="50" t="s">
        <v>246</v>
      </c>
      <c r="F7" s="50" t="s">
        <v>246</v>
      </c>
      <c r="G7" s="50" t="s">
        <v>246</v>
      </c>
      <c r="H7" s="50" t="s">
        <v>246</v>
      </c>
      <c r="I7" s="50" t="s">
        <v>246</v>
      </c>
      <c r="J7" s="50" t="s">
        <v>246</v>
      </c>
      <c r="K7" s="50" t="s">
        <v>246</v>
      </c>
      <c r="L7" s="51">
        <v>1</v>
      </c>
    </row>
    <row r="8" spans="1:13" ht="8.25" customHeight="1" x14ac:dyDescent="0.2">
      <c r="A8" s="408"/>
      <c r="B8" s="409"/>
      <c r="C8" s="409"/>
      <c r="D8" s="409"/>
      <c r="E8" s="409"/>
      <c r="F8" s="409"/>
      <c r="G8" s="409"/>
      <c r="H8" s="409"/>
      <c r="I8" s="409"/>
      <c r="J8" s="409"/>
      <c r="K8" s="409"/>
      <c r="L8" s="410"/>
    </row>
    <row r="9" spans="1:13" x14ac:dyDescent="0.2">
      <c r="A9" s="54" t="s">
        <v>247</v>
      </c>
      <c r="B9" s="55" t="str">
        <f>PLANILHA!D12</f>
        <v>CAPTAÇÃO - PRÉ FILTRO/POÇO SUCÇÃO</v>
      </c>
      <c r="C9" s="56"/>
      <c r="D9" s="57"/>
      <c r="E9" s="57"/>
      <c r="F9" s="57"/>
      <c r="G9" s="57"/>
      <c r="H9" s="57"/>
      <c r="I9" s="57"/>
      <c r="J9" s="57"/>
      <c r="K9" s="57"/>
      <c r="L9" s="58"/>
    </row>
    <row r="10" spans="1:13" s="43" customFormat="1" x14ac:dyDescent="0.2">
      <c r="A10" s="59" t="s">
        <v>16</v>
      </c>
      <c r="B10" s="60" t="str">
        <f>PLANILHA!D13</f>
        <v>ENROCAMENTO COM PEDRA DE MAO</v>
      </c>
      <c r="C10" s="59" t="s">
        <v>248</v>
      </c>
      <c r="D10" s="61" t="s">
        <v>246</v>
      </c>
      <c r="E10" s="61" t="s">
        <v>294</v>
      </c>
      <c r="F10" s="61" t="s">
        <v>294</v>
      </c>
      <c r="G10" s="61" t="s">
        <v>294</v>
      </c>
      <c r="H10" s="61" t="s">
        <v>246</v>
      </c>
      <c r="I10" s="61">
        <v>5</v>
      </c>
      <c r="J10" s="61" t="s">
        <v>246</v>
      </c>
      <c r="K10" s="61" t="s">
        <v>246</v>
      </c>
      <c r="L10" s="62">
        <f>I10</f>
        <v>5</v>
      </c>
    </row>
    <row r="11" spans="1:13" s="43" customFormat="1" x14ac:dyDescent="0.2">
      <c r="A11" s="63" t="s">
        <v>20</v>
      </c>
      <c r="B11" s="64" t="str">
        <f>PLANILHA!D14</f>
        <v>FORMA CURVA MADEIRA - PILAR/VIGA/PAREDE</v>
      </c>
      <c r="C11" s="63" t="s">
        <v>249</v>
      </c>
      <c r="D11" s="414"/>
      <c r="E11" s="415"/>
      <c r="F11" s="415"/>
      <c r="G11" s="415"/>
      <c r="H11" s="415"/>
      <c r="I11" s="415"/>
      <c r="J11" s="415"/>
      <c r="K11" s="416"/>
      <c r="L11" s="66">
        <f>SUM(L12:L13)</f>
        <v>3.84</v>
      </c>
      <c r="M11" s="43">
        <v>3.77</v>
      </c>
    </row>
    <row r="12" spans="1:13" s="43" customFormat="1" x14ac:dyDescent="0.2">
      <c r="A12" s="63"/>
      <c r="B12" s="67" t="s">
        <v>250</v>
      </c>
      <c r="C12" s="68"/>
      <c r="D12" s="69">
        <v>4</v>
      </c>
      <c r="E12" s="69">
        <v>0.3</v>
      </c>
      <c r="F12" s="69">
        <v>0.3</v>
      </c>
      <c r="G12" s="69">
        <v>0.2</v>
      </c>
      <c r="H12" s="69">
        <f>ROUND(G12*F12*D12,2)</f>
        <v>0.24</v>
      </c>
      <c r="I12" s="69" t="s">
        <v>246</v>
      </c>
      <c r="J12" s="69" t="s">
        <v>246</v>
      </c>
      <c r="K12" s="69" t="s">
        <v>246</v>
      </c>
      <c r="L12" s="69">
        <f>ROUND(H12*D12,2)</f>
        <v>0.96</v>
      </c>
    </row>
    <row r="13" spans="1:13" s="43" customFormat="1" x14ac:dyDescent="0.2">
      <c r="A13" s="63"/>
      <c r="B13" s="67" t="s">
        <v>251</v>
      </c>
      <c r="C13" s="68"/>
      <c r="D13" s="69">
        <v>4</v>
      </c>
      <c r="E13" s="69">
        <v>0.15</v>
      </c>
      <c r="F13" s="69">
        <v>0.15</v>
      </c>
      <c r="G13" s="69">
        <v>1.2</v>
      </c>
      <c r="H13" s="69">
        <f>ROUND(G13*F13*D13,2)</f>
        <v>0.72</v>
      </c>
      <c r="I13" s="69" t="s">
        <v>246</v>
      </c>
      <c r="J13" s="69" t="s">
        <v>246</v>
      </c>
      <c r="K13" s="69" t="s">
        <v>246</v>
      </c>
      <c r="L13" s="69">
        <f>ROUND(H13*D13,2)</f>
        <v>2.88</v>
      </c>
    </row>
    <row r="14" spans="1:13" s="43" customFormat="1" ht="8.25" customHeight="1" x14ac:dyDescent="0.2">
      <c r="A14" s="417"/>
      <c r="B14" s="417"/>
      <c r="C14" s="417"/>
      <c r="D14" s="417"/>
      <c r="E14" s="417"/>
      <c r="F14" s="417"/>
      <c r="G14" s="417"/>
      <c r="H14" s="417"/>
      <c r="I14" s="417"/>
      <c r="J14" s="417"/>
      <c r="K14" s="417"/>
      <c r="L14" s="417"/>
    </row>
    <row r="15" spans="1:13" s="43" customFormat="1" x14ac:dyDescent="0.2">
      <c r="A15" s="63" t="s">
        <v>59</v>
      </c>
      <c r="B15" s="64" t="str">
        <f>PLANILHA!D15</f>
        <v>ARMADURA CA-50</v>
      </c>
      <c r="C15" s="63" t="s">
        <v>252</v>
      </c>
      <c r="D15" s="414"/>
      <c r="E15" s="415"/>
      <c r="F15" s="415"/>
      <c r="G15" s="415"/>
      <c r="H15" s="415"/>
      <c r="I15" s="415"/>
      <c r="J15" s="415"/>
      <c r="K15" s="416"/>
      <c r="L15" s="66">
        <f>SUM(L16:L17)</f>
        <v>10.64</v>
      </c>
    </row>
    <row r="16" spans="1:13" s="43" customFormat="1" x14ac:dyDescent="0.2">
      <c r="A16" s="63"/>
      <c r="B16" s="67" t="s">
        <v>254</v>
      </c>
      <c r="C16" s="68"/>
      <c r="D16" s="69">
        <v>4</v>
      </c>
      <c r="E16" s="69">
        <v>0.52</v>
      </c>
      <c r="F16" s="69" t="s">
        <v>246</v>
      </c>
      <c r="G16" s="69" t="s">
        <v>246</v>
      </c>
      <c r="H16" s="69" t="s">
        <v>246</v>
      </c>
      <c r="I16" s="69" t="s">
        <v>246</v>
      </c>
      <c r="J16" s="70">
        <v>0.245</v>
      </c>
      <c r="K16" s="70" t="s">
        <v>246</v>
      </c>
      <c r="L16" s="69">
        <f>ROUND(E16*D16*J16*D16,2)</f>
        <v>2.04</v>
      </c>
    </row>
    <row r="17" spans="1:12" s="43" customFormat="1" x14ac:dyDescent="0.2">
      <c r="A17" s="63"/>
      <c r="B17" s="67" t="s">
        <v>255</v>
      </c>
      <c r="C17" s="68"/>
      <c r="D17" s="69">
        <v>4</v>
      </c>
      <c r="E17" s="69">
        <v>1.36</v>
      </c>
      <c r="F17" s="69" t="s">
        <v>246</v>
      </c>
      <c r="G17" s="69" t="s">
        <v>246</v>
      </c>
      <c r="H17" s="69" t="s">
        <v>246</v>
      </c>
      <c r="I17" s="69" t="s">
        <v>246</v>
      </c>
      <c r="J17" s="70">
        <v>0.39500000000000002</v>
      </c>
      <c r="K17" s="70" t="s">
        <v>246</v>
      </c>
      <c r="L17" s="69">
        <f>ROUND(E17*D17*J17*D17,2)</f>
        <v>8.6</v>
      </c>
    </row>
    <row r="18" spans="1:12" s="43" customFormat="1" ht="8.25" customHeight="1" x14ac:dyDescent="0.2">
      <c r="A18" s="417"/>
      <c r="B18" s="417"/>
      <c r="C18" s="417"/>
      <c r="D18" s="417"/>
      <c r="E18" s="417"/>
      <c r="F18" s="417"/>
      <c r="G18" s="417"/>
      <c r="H18" s="417"/>
      <c r="I18" s="417"/>
      <c r="J18" s="417"/>
      <c r="K18" s="417"/>
      <c r="L18" s="417"/>
    </row>
    <row r="19" spans="1:12" s="43" customFormat="1" x14ac:dyDescent="0.2">
      <c r="A19" s="63" t="s">
        <v>60</v>
      </c>
      <c r="B19" s="64" t="str">
        <f>PLANILHA!D16</f>
        <v xml:space="preserve">CONCRETO FCK 150 KG/CM2, VIRADO NA OBRA    </v>
      </c>
      <c r="C19" s="63" t="s">
        <v>248</v>
      </c>
      <c r="D19" s="414"/>
      <c r="E19" s="415"/>
      <c r="F19" s="415"/>
      <c r="G19" s="415"/>
      <c r="H19" s="415"/>
      <c r="I19" s="415"/>
      <c r="J19" s="415"/>
      <c r="K19" s="416"/>
      <c r="L19" s="66">
        <f>SUM(L20:L21)</f>
        <v>0.2</v>
      </c>
    </row>
    <row r="20" spans="1:12" s="43" customFormat="1" x14ac:dyDescent="0.2">
      <c r="A20" s="63"/>
      <c r="B20" s="67" t="s">
        <v>250</v>
      </c>
      <c r="C20" s="68"/>
      <c r="D20" s="69">
        <v>4</v>
      </c>
      <c r="E20" s="69">
        <v>0.3</v>
      </c>
      <c r="F20" s="69">
        <v>0.3</v>
      </c>
      <c r="G20" s="69">
        <v>0.2</v>
      </c>
      <c r="H20" s="69" t="s">
        <v>246</v>
      </c>
      <c r="I20" s="69">
        <f>ROUND(G20*F20*E20,2)</f>
        <v>0.02</v>
      </c>
      <c r="J20" s="69" t="s">
        <v>246</v>
      </c>
      <c r="K20" s="69" t="s">
        <v>246</v>
      </c>
      <c r="L20" s="69">
        <f>ROUND(I20*D20,2)</f>
        <v>0.08</v>
      </c>
    </row>
    <row r="21" spans="1:12" s="43" customFormat="1" x14ac:dyDescent="0.2">
      <c r="A21" s="63"/>
      <c r="B21" s="67" t="s">
        <v>251</v>
      </c>
      <c r="C21" s="68"/>
      <c r="D21" s="69">
        <v>4</v>
      </c>
      <c r="E21" s="69">
        <v>0.15</v>
      </c>
      <c r="F21" s="69">
        <v>0.15</v>
      </c>
      <c r="G21" s="69">
        <v>1.2</v>
      </c>
      <c r="H21" s="69" t="s">
        <v>246</v>
      </c>
      <c r="I21" s="69">
        <f>ROUND(G21*F21*E21,2)</f>
        <v>0.03</v>
      </c>
      <c r="J21" s="69" t="s">
        <v>246</v>
      </c>
      <c r="K21" s="69" t="s">
        <v>246</v>
      </c>
      <c r="L21" s="69">
        <f>ROUND(I21*D21,2)</f>
        <v>0.12</v>
      </c>
    </row>
    <row r="22" spans="1:12" s="43" customFormat="1" ht="8.25" customHeight="1" x14ac:dyDescent="0.2">
      <c r="A22" s="405"/>
      <c r="B22" s="406"/>
      <c r="C22" s="406"/>
      <c r="D22" s="406"/>
      <c r="E22" s="406"/>
      <c r="F22" s="406"/>
      <c r="G22" s="406"/>
      <c r="H22" s="406"/>
      <c r="I22" s="406"/>
      <c r="J22" s="406"/>
      <c r="K22" s="406"/>
      <c r="L22" s="407"/>
    </row>
    <row r="23" spans="1:12" x14ac:dyDescent="0.2">
      <c r="A23" s="54" t="s">
        <v>253</v>
      </c>
      <c r="B23" s="55" t="str">
        <f>PLANILHA!D18</f>
        <v>ELEVATÓRIA ÁGUA BRUTA (CASA DE BOMBAS)</v>
      </c>
      <c r="C23" s="56"/>
      <c r="D23" s="57"/>
      <c r="E23" s="57"/>
      <c r="F23" s="57"/>
      <c r="G23" s="57"/>
      <c r="H23" s="57"/>
      <c r="I23" s="57"/>
      <c r="J23" s="57"/>
      <c r="K23" s="57"/>
      <c r="L23" s="58"/>
    </row>
    <row r="24" spans="1:12" ht="25.5" x14ac:dyDescent="0.2">
      <c r="A24" s="63" t="s">
        <v>17</v>
      </c>
      <c r="B24" s="71" t="str">
        <f>PLANILHA!D19</f>
        <v>ESCADA EM CONCRETO ARMADO, FCK = 15 MPA, MOLDADA IN LOCO</v>
      </c>
      <c r="C24" s="63" t="s">
        <v>249</v>
      </c>
      <c r="D24" s="65">
        <v>1</v>
      </c>
      <c r="E24" s="65">
        <v>1.2</v>
      </c>
      <c r="F24" s="65" t="s">
        <v>246</v>
      </c>
      <c r="G24" s="65" t="s">
        <v>246</v>
      </c>
      <c r="H24" s="65">
        <f>0.06*4</f>
        <v>0.24</v>
      </c>
      <c r="I24" s="65">
        <f>E24*H24</f>
        <v>0.28799999999999998</v>
      </c>
      <c r="J24" s="65" t="s">
        <v>246</v>
      </c>
      <c r="K24" s="65" t="s">
        <v>246</v>
      </c>
      <c r="L24" s="66">
        <f>I24</f>
        <v>0.28799999999999998</v>
      </c>
    </row>
    <row r="25" spans="1:12" x14ac:dyDescent="0.2">
      <c r="A25" s="49" t="s">
        <v>18</v>
      </c>
      <c r="B25" s="34" t="str">
        <f>PLANILHA!D20</f>
        <v>FORRO EM REGUAS DE PVC</v>
      </c>
      <c r="C25" s="49" t="s">
        <v>249</v>
      </c>
      <c r="D25" s="50" t="s">
        <v>246</v>
      </c>
      <c r="E25" s="50" t="s">
        <v>246</v>
      </c>
      <c r="F25" s="50" t="s">
        <v>246</v>
      </c>
      <c r="G25" s="50" t="s">
        <v>246</v>
      </c>
      <c r="H25" s="50" t="s">
        <v>246</v>
      </c>
      <c r="I25" s="50" t="s">
        <v>246</v>
      </c>
      <c r="J25" s="50" t="s">
        <v>246</v>
      </c>
      <c r="K25" s="50" t="s">
        <v>246</v>
      </c>
      <c r="L25" s="51">
        <f>L26</f>
        <v>4</v>
      </c>
    </row>
    <row r="26" spans="1:12" x14ac:dyDescent="0.2">
      <c r="A26" s="49"/>
      <c r="B26" s="72" t="s">
        <v>256</v>
      </c>
      <c r="C26" s="73"/>
      <c r="D26" s="74" t="s">
        <v>246</v>
      </c>
      <c r="E26" s="74">
        <v>2</v>
      </c>
      <c r="F26" s="74">
        <v>2</v>
      </c>
      <c r="G26" s="74" t="s">
        <v>246</v>
      </c>
      <c r="H26" s="74">
        <f>F26*E26</f>
        <v>4</v>
      </c>
      <c r="I26" s="74" t="s">
        <v>246</v>
      </c>
      <c r="J26" s="74" t="s">
        <v>246</v>
      </c>
      <c r="K26" s="74" t="s">
        <v>246</v>
      </c>
      <c r="L26" s="74">
        <f>H26</f>
        <v>4</v>
      </c>
    </row>
    <row r="27" spans="1:12" ht="8.25" customHeight="1" x14ac:dyDescent="0.2">
      <c r="A27" s="404"/>
      <c r="B27" s="404"/>
      <c r="C27" s="404"/>
      <c r="D27" s="404"/>
      <c r="E27" s="404"/>
      <c r="F27" s="404"/>
      <c r="G27" s="404"/>
      <c r="H27" s="404"/>
      <c r="I27" s="404"/>
      <c r="J27" s="404"/>
      <c r="K27" s="404"/>
      <c r="L27" s="404"/>
    </row>
    <row r="28" spans="1:12" x14ac:dyDescent="0.2">
      <c r="A28" s="49" t="s">
        <v>19</v>
      </c>
      <c r="B28" s="34" t="str">
        <f>PLANILHA!D21</f>
        <v>PORTA MADEIRA PRANCHETA, COMPLETA</v>
      </c>
      <c r="C28" s="49" t="s">
        <v>249</v>
      </c>
      <c r="D28" s="50">
        <v>1</v>
      </c>
      <c r="E28" s="50" t="s">
        <v>246</v>
      </c>
      <c r="F28" s="50">
        <v>0.7</v>
      </c>
      <c r="G28" s="50">
        <v>1.8</v>
      </c>
      <c r="H28" s="50">
        <f>ROUND(G28*F28,2)</f>
        <v>1.26</v>
      </c>
      <c r="I28" s="50" t="s">
        <v>246</v>
      </c>
      <c r="J28" s="50" t="s">
        <v>246</v>
      </c>
      <c r="K28" s="50" t="s">
        <v>246</v>
      </c>
      <c r="L28" s="51">
        <f>H28</f>
        <v>1.26</v>
      </c>
    </row>
    <row r="29" spans="1:12" ht="8.25" customHeight="1" x14ac:dyDescent="0.2">
      <c r="A29" s="404"/>
      <c r="B29" s="404"/>
      <c r="C29" s="404"/>
      <c r="D29" s="404"/>
      <c r="E29" s="404"/>
      <c r="F29" s="404"/>
      <c r="G29" s="404"/>
      <c r="H29" s="404"/>
      <c r="I29" s="404"/>
      <c r="J29" s="404"/>
      <c r="K29" s="404"/>
      <c r="L29" s="404"/>
    </row>
    <row r="30" spans="1:12" x14ac:dyDescent="0.2">
      <c r="A30" s="49" t="s">
        <v>192</v>
      </c>
      <c r="B30" s="34" t="str">
        <f>PLANILHA!D22</f>
        <v>EMASSAMENTO PAREDE MASSA ACRÍLICA</v>
      </c>
      <c r="C30" s="49" t="s">
        <v>249</v>
      </c>
      <c r="D30" s="411"/>
      <c r="E30" s="412"/>
      <c r="F30" s="412"/>
      <c r="G30" s="412"/>
      <c r="H30" s="412"/>
      <c r="I30" s="412"/>
      <c r="J30" s="412"/>
      <c r="K30" s="413"/>
      <c r="L30" s="51">
        <f>SUM(L31:L38)</f>
        <v>39.529999999999994</v>
      </c>
    </row>
    <row r="31" spans="1:12" x14ac:dyDescent="0.2">
      <c r="A31" s="49"/>
      <c r="B31" s="72" t="s">
        <v>259</v>
      </c>
      <c r="C31" s="73"/>
      <c r="D31" s="74" t="s">
        <v>246</v>
      </c>
      <c r="E31" s="74">
        <v>2</v>
      </c>
      <c r="F31" s="74" t="s">
        <v>246</v>
      </c>
      <c r="G31" s="74">
        <v>2.15</v>
      </c>
      <c r="H31" s="74">
        <f>E31*G31</f>
        <v>4.3</v>
      </c>
      <c r="I31" s="74" t="s">
        <v>246</v>
      </c>
      <c r="J31" s="74" t="s">
        <v>246</v>
      </c>
      <c r="K31" s="74">
        <f>0.7*1.8</f>
        <v>1.26</v>
      </c>
      <c r="L31" s="74">
        <f t="shared" ref="L31:L38" si="0">H31-K31</f>
        <v>3.04</v>
      </c>
    </row>
    <row r="32" spans="1:12" x14ac:dyDescent="0.2">
      <c r="A32" s="49"/>
      <c r="B32" s="72" t="s">
        <v>260</v>
      </c>
      <c r="C32" s="73"/>
      <c r="D32" s="74" t="s">
        <v>246</v>
      </c>
      <c r="E32" s="74">
        <v>2</v>
      </c>
      <c r="F32" s="74" t="s">
        <v>246</v>
      </c>
      <c r="G32" s="74">
        <v>2</v>
      </c>
      <c r="H32" s="74">
        <f>E32*G32</f>
        <v>4</v>
      </c>
      <c r="I32" s="74" t="s">
        <v>246</v>
      </c>
      <c r="J32" s="74" t="s">
        <v>246</v>
      </c>
      <c r="K32" s="74">
        <f>1.6*0.6</f>
        <v>0.96</v>
      </c>
      <c r="L32" s="74">
        <f t="shared" si="0"/>
        <v>3.04</v>
      </c>
    </row>
    <row r="33" spans="1:12" x14ac:dyDescent="0.2">
      <c r="A33" s="49"/>
      <c r="B33" s="72" t="s">
        <v>261</v>
      </c>
      <c r="C33" s="49"/>
      <c r="D33" s="74" t="s">
        <v>246</v>
      </c>
      <c r="E33" s="74">
        <v>2</v>
      </c>
      <c r="F33" s="74" t="s">
        <v>246</v>
      </c>
      <c r="G33" s="74">
        <v>2.15</v>
      </c>
      <c r="H33" s="74">
        <f>E33*G33</f>
        <v>4.3</v>
      </c>
      <c r="I33" s="74" t="s">
        <v>246</v>
      </c>
      <c r="J33" s="74" t="s">
        <v>246</v>
      </c>
      <c r="K33" s="74">
        <v>0</v>
      </c>
      <c r="L33" s="74">
        <f t="shared" si="0"/>
        <v>4.3</v>
      </c>
    </row>
    <row r="34" spans="1:12" x14ac:dyDescent="0.2">
      <c r="A34" s="49"/>
      <c r="B34" s="72" t="s">
        <v>262</v>
      </c>
      <c r="C34" s="49"/>
      <c r="D34" s="74" t="s">
        <v>246</v>
      </c>
      <c r="E34" s="74">
        <v>2</v>
      </c>
      <c r="F34" s="74" t="s">
        <v>246</v>
      </c>
      <c r="G34" s="74">
        <v>2.2999999999999998</v>
      </c>
      <c r="H34" s="74">
        <f>G34*E34</f>
        <v>4.5999999999999996</v>
      </c>
      <c r="I34" s="74" t="s">
        <v>246</v>
      </c>
      <c r="J34" s="74" t="s">
        <v>246</v>
      </c>
      <c r="K34" s="74">
        <f>1.6*0.6</f>
        <v>0.96</v>
      </c>
      <c r="L34" s="74">
        <f t="shared" si="0"/>
        <v>3.6399999999999997</v>
      </c>
    </row>
    <row r="35" spans="1:12" x14ac:dyDescent="0.2">
      <c r="A35" s="49"/>
      <c r="B35" s="72" t="s">
        <v>258</v>
      </c>
      <c r="C35" s="73"/>
      <c r="D35" s="74" t="s">
        <v>246</v>
      </c>
      <c r="E35" s="74">
        <v>2.2999999999999998</v>
      </c>
      <c r="F35" s="74" t="s">
        <v>246</v>
      </c>
      <c r="G35" s="74">
        <v>3.35</v>
      </c>
      <c r="H35" s="74">
        <f>E35*G35</f>
        <v>7.7049999999999992</v>
      </c>
      <c r="I35" s="74" t="s">
        <v>246</v>
      </c>
      <c r="J35" s="74" t="s">
        <v>246</v>
      </c>
      <c r="K35" s="74">
        <f>(0.7*1.8)+(1.2*1.2)</f>
        <v>2.7</v>
      </c>
      <c r="L35" s="74">
        <f t="shared" si="0"/>
        <v>5.004999999999999</v>
      </c>
    </row>
    <row r="36" spans="1:12" x14ac:dyDescent="0.2">
      <c r="A36" s="49"/>
      <c r="B36" s="72" t="s">
        <v>263</v>
      </c>
      <c r="C36" s="73"/>
      <c r="D36" s="74" t="s">
        <v>246</v>
      </c>
      <c r="E36" s="74">
        <v>2.2999999999999998</v>
      </c>
      <c r="F36" s="74" t="s">
        <v>246</v>
      </c>
      <c r="G36" s="74">
        <v>3.2</v>
      </c>
      <c r="H36" s="74">
        <f>E36*G36</f>
        <v>7.3599999999999994</v>
      </c>
      <c r="I36" s="74" t="s">
        <v>246</v>
      </c>
      <c r="J36" s="74" t="s">
        <v>246</v>
      </c>
      <c r="K36" s="74">
        <f>1.6*0.6</f>
        <v>0.96</v>
      </c>
      <c r="L36" s="74">
        <f t="shared" si="0"/>
        <v>6.3999999999999995</v>
      </c>
    </row>
    <row r="37" spans="1:12" x14ac:dyDescent="0.2">
      <c r="A37" s="49"/>
      <c r="B37" s="72" t="s">
        <v>264</v>
      </c>
      <c r="C37" s="73"/>
      <c r="D37" s="74" t="s">
        <v>246</v>
      </c>
      <c r="E37" s="74">
        <v>2.2999999999999998</v>
      </c>
      <c r="F37" s="74" t="s">
        <v>246</v>
      </c>
      <c r="G37" s="74">
        <v>3.35</v>
      </c>
      <c r="H37" s="74">
        <f>E37*G37</f>
        <v>7.7049999999999992</v>
      </c>
      <c r="I37" s="74" t="s">
        <v>246</v>
      </c>
      <c r="J37" s="74" t="s">
        <v>246</v>
      </c>
      <c r="K37" s="74">
        <v>0</v>
      </c>
      <c r="L37" s="74">
        <f t="shared" si="0"/>
        <v>7.7049999999999992</v>
      </c>
    </row>
    <row r="38" spans="1:12" x14ac:dyDescent="0.2">
      <c r="A38" s="49"/>
      <c r="B38" s="72" t="s">
        <v>265</v>
      </c>
      <c r="C38" s="73"/>
      <c r="D38" s="74" t="s">
        <v>246</v>
      </c>
      <c r="E38" s="74">
        <v>2.2999999999999998</v>
      </c>
      <c r="F38" s="74" t="s">
        <v>246</v>
      </c>
      <c r="G38" s="74">
        <v>3.2</v>
      </c>
      <c r="H38" s="74">
        <f>E38*G38</f>
        <v>7.3599999999999994</v>
      </c>
      <c r="I38" s="74" t="s">
        <v>246</v>
      </c>
      <c r="J38" s="74" t="s">
        <v>246</v>
      </c>
      <c r="K38" s="74">
        <f>1.6*0.6</f>
        <v>0.96</v>
      </c>
      <c r="L38" s="74">
        <f t="shared" si="0"/>
        <v>6.3999999999999995</v>
      </c>
    </row>
    <row r="39" spans="1:12" ht="8.25" customHeight="1" x14ac:dyDescent="0.2">
      <c r="A39" s="404"/>
      <c r="B39" s="404"/>
      <c r="C39" s="404"/>
      <c r="D39" s="404"/>
      <c r="E39" s="404"/>
      <c r="F39" s="404"/>
      <c r="G39" s="404"/>
      <c r="H39" s="404"/>
      <c r="I39" s="404"/>
      <c r="J39" s="404"/>
      <c r="K39" s="404"/>
      <c r="L39" s="404"/>
    </row>
    <row r="40" spans="1:12" x14ac:dyDescent="0.2">
      <c r="A40" s="63" t="s">
        <v>193</v>
      </c>
      <c r="B40" s="64" t="str">
        <f>PLANILHA!D23</f>
        <v>PINTURA ESMALTE SINTET TUBUL 2 DEMAOS</v>
      </c>
      <c r="C40" s="63" t="s">
        <v>249</v>
      </c>
      <c r="D40" s="65" t="s">
        <v>246</v>
      </c>
      <c r="E40" s="65">
        <v>6</v>
      </c>
      <c r="F40" s="65">
        <v>0.05</v>
      </c>
      <c r="G40" s="65" t="s">
        <v>246</v>
      </c>
      <c r="H40" s="65">
        <f>F40*3.14*E40</f>
        <v>0.94200000000000017</v>
      </c>
      <c r="I40" s="65" t="s">
        <v>246</v>
      </c>
      <c r="J40" s="65" t="s">
        <v>246</v>
      </c>
      <c r="K40" s="65" t="s">
        <v>246</v>
      </c>
      <c r="L40" s="66">
        <f>H40</f>
        <v>0.94200000000000017</v>
      </c>
    </row>
    <row r="41" spans="1:12" x14ac:dyDescent="0.2">
      <c r="A41" s="49" t="s">
        <v>194</v>
      </c>
      <c r="B41" s="34" t="str">
        <f>PLANILHA!D24</f>
        <v>PINTURA ESMALTE SINTET MADEIRA 2 DEMAOS</v>
      </c>
      <c r="C41" s="49" t="s">
        <v>249</v>
      </c>
      <c r="D41" s="50" t="s">
        <v>246</v>
      </c>
      <c r="E41" s="50" t="s">
        <v>246</v>
      </c>
      <c r="F41" s="50">
        <v>1</v>
      </c>
      <c r="G41" s="50">
        <v>1</v>
      </c>
      <c r="H41" s="50">
        <f>G41*F41</f>
        <v>1</v>
      </c>
      <c r="I41" s="50" t="s">
        <v>246</v>
      </c>
      <c r="J41" s="50" t="s">
        <v>246</v>
      </c>
      <c r="K41" s="50" t="s">
        <v>246</v>
      </c>
      <c r="L41" s="51">
        <f>H41</f>
        <v>1</v>
      </c>
    </row>
    <row r="42" spans="1:12" x14ac:dyDescent="0.2">
      <c r="A42" s="426" t="s">
        <v>266</v>
      </c>
      <c r="B42" s="426"/>
      <c r="C42" s="426"/>
      <c r="D42" s="426"/>
      <c r="E42" s="426"/>
      <c r="F42" s="426"/>
      <c r="G42" s="426"/>
      <c r="H42" s="426"/>
      <c r="I42" s="426"/>
      <c r="J42" s="426"/>
      <c r="K42" s="426"/>
      <c r="L42" s="426"/>
    </row>
    <row r="43" spans="1:12" x14ac:dyDescent="0.2">
      <c r="A43" s="49" t="s">
        <v>68</v>
      </c>
      <c r="B43" s="34" t="str">
        <f>PLANILHA!D25</f>
        <v xml:space="preserve">PINTURA ACRILICA PAREDE/TETO 2 DEMAOS </v>
      </c>
      <c r="C43" s="49"/>
      <c r="D43" s="411"/>
      <c r="E43" s="412"/>
      <c r="F43" s="412"/>
      <c r="G43" s="412"/>
      <c r="H43" s="412"/>
      <c r="I43" s="412"/>
      <c r="J43" s="412"/>
      <c r="K43" s="413"/>
      <c r="L43" s="51">
        <f>SUM(L44:L51)</f>
        <v>39.529999999999994</v>
      </c>
    </row>
    <row r="44" spans="1:12" x14ac:dyDescent="0.2">
      <c r="A44" s="49"/>
      <c r="B44" s="72" t="s">
        <v>259</v>
      </c>
      <c r="C44" s="73"/>
      <c r="D44" s="74" t="s">
        <v>246</v>
      </c>
      <c r="E44" s="74">
        <v>2</v>
      </c>
      <c r="F44" s="74" t="s">
        <v>246</v>
      </c>
      <c r="G44" s="74">
        <v>2.15</v>
      </c>
      <c r="H44" s="74">
        <f>E44*G44</f>
        <v>4.3</v>
      </c>
      <c r="I44" s="74" t="s">
        <v>246</v>
      </c>
      <c r="J44" s="74" t="s">
        <v>246</v>
      </c>
      <c r="K44" s="74">
        <f>0.7*1.8</f>
        <v>1.26</v>
      </c>
      <c r="L44" s="74">
        <f t="shared" ref="L44:L51" si="1">H44-K44</f>
        <v>3.04</v>
      </c>
    </row>
    <row r="45" spans="1:12" x14ac:dyDescent="0.2">
      <c r="A45" s="49"/>
      <c r="B45" s="72" t="s">
        <v>260</v>
      </c>
      <c r="C45" s="73"/>
      <c r="D45" s="74" t="s">
        <v>246</v>
      </c>
      <c r="E45" s="74">
        <v>2</v>
      </c>
      <c r="F45" s="74" t="s">
        <v>246</v>
      </c>
      <c r="G45" s="74">
        <v>2</v>
      </c>
      <c r="H45" s="74">
        <f>E45*G45</f>
        <v>4</v>
      </c>
      <c r="I45" s="74" t="s">
        <v>246</v>
      </c>
      <c r="J45" s="74" t="s">
        <v>246</v>
      </c>
      <c r="K45" s="74">
        <f>1.6*0.6</f>
        <v>0.96</v>
      </c>
      <c r="L45" s="74">
        <f t="shared" si="1"/>
        <v>3.04</v>
      </c>
    </row>
    <row r="46" spans="1:12" x14ac:dyDescent="0.2">
      <c r="A46" s="49"/>
      <c r="B46" s="72" t="s">
        <v>261</v>
      </c>
      <c r="C46" s="49"/>
      <c r="D46" s="74" t="s">
        <v>246</v>
      </c>
      <c r="E46" s="74">
        <v>2</v>
      </c>
      <c r="F46" s="74" t="s">
        <v>246</v>
      </c>
      <c r="G46" s="74">
        <v>2.15</v>
      </c>
      <c r="H46" s="74">
        <f>E46*G46</f>
        <v>4.3</v>
      </c>
      <c r="I46" s="74" t="s">
        <v>246</v>
      </c>
      <c r="J46" s="74" t="s">
        <v>246</v>
      </c>
      <c r="K46" s="74">
        <v>0</v>
      </c>
      <c r="L46" s="74">
        <f t="shared" si="1"/>
        <v>4.3</v>
      </c>
    </row>
    <row r="47" spans="1:12" x14ac:dyDescent="0.2">
      <c r="A47" s="49"/>
      <c r="B47" s="72" t="s">
        <v>262</v>
      </c>
      <c r="C47" s="49"/>
      <c r="D47" s="74" t="s">
        <v>246</v>
      </c>
      <c r="E47" s="74">
        <v>2</v>
      </c>
      <c r="F47" s="74" t="s">
        <v>246</v>
      </c>
      <c r="G47" s="74">
        <v>2.2999999999999998</v>
      </c>
      <c r="H47" s="74">
        <f>G47*E47</f>
        <v>4.5999999999999996</v>
      </c>
      <c r="I47" s="74" t="s">
        <v>246</v>
      </c>
      <c r="J47" s="74" t="s">
        <v>246</v>
      </c>
      <c r="K47" s="74">
        <f>1.6*0.6</f>
        <v>0.96</v>
      </c>
      <c r="L47" s="74">
        <f t="shared" si="1"/>
        <v>3.6399999999999997</v>
      </c>
    </row>
    <row r="48" spans="1:12" x14ac:dyDescent="0.2">
      <c r="A48" s="49"/>
      <c r="B48" s="72" t="s">
        <v>258</v>
      </c>
      <c r="C48" s="73"/>
      <c r="D48" s="74" t="s">
        <v>246</v>
      </c>
      <c r="E48" s="74">
        <v>2.2999999999999998</v>
      </c>
      <c r="F48" s="74" t="s">
        <v>246</v>
      </c>
      <c r="G48" s="74">
        <v>3.35</v>
      </c>
      <c r="H48" s="74">
        <f>E48*G48</f>
        <v>7.7049999999999992</v>
      </c>
      <c r="I48" s="74" t="s">
        <v>246</v>
      </c>
      <c r="J48" s="74" t="s">
        <v>246</v>
      </c>
      <c r="K48" s="74">
        <f>(0.7*1.8)+(1.2*1.2)</f>
        <v>2.7</v>
      </c>
      <c r="L48" s="74">
        <f t="shared" si="1"/>
        <v>5.004999999999999</v>
      </c>
    </row>
    <row r="49" spans="1:12" x14ac:dyDescent="0.2">
      <c r="A49" s="49"/>
      <c r="B49" s="72" t="s">
        <v>263</v>
      </c>
      <c r="C49" s="73"/>
      <c r="D49" s="74" t="s">
        <v>246</v>
      </c>
      <c r="E49" s="74">
        <v>2.2999999999999998</v>
      </c>
      <c r="F49" s="74" t="s">
        <v>246</v>
      </c>
      <c r="G49" s="74">
        <v>3.2</v>
      </c>
      <c r="H49" s="74">
        <f>E49*G49</f>
        <v>7.3599999999999994</v>
      </c>
      <c r="I49" s="74" t="s">
        <v>246</v>
      </c>
      <c r="J49" s="74" t="s">
        <v>246</v>
      </c>
      <c r="K49" s="74">
        <f>1.6*0.6</f>
        <v>0.96</v>
      </c>
      <c r="L49" s="74">
        <f t="shared" si="1"/>
        <v>6.3999999999999995</v>
      </c>
    </row>
    <row r="50" spans="1:12" x14ac:dyDescent="0.2">
      <c r="A50" s="49"/>
      <c r="B50" s="72" t="s">
        <v>264</v>
      </c>
      <c r="C50" s="73"/>
      <c r="D50" s="74" t="s">
        <v>246</v>
      </c>
      <c r="E50" s="74">
        <v>2.2999999999999998</v>
      </c>
      <c r="F50" s="74" t="s">
        <v>246</v>
      </c>
      <c r="G50" s="74">
        <v>3.35</v>
      </c>
      <c r="H50" s="74">
        <f>E50*G50</f>
        <v>7.7049999999999992</v>
      </c>
      <c r="I50" s="74" t="s">
        <v>246</v>
      </c>
      <c r="J50" s="74" t="s">
        <v>246</v>
      </c>
      <c r="K50" s="74">
        <v>0</v>
      </c>
      <c r="L50" s="74">
        <f t="shared" si="1"/>
        <v>7.7049999999999992</v>
      </c>
    </row>
    <row r="51" spans="1:12" x14ac:dyDescent="0.2">
      <c r="A51" s="49"/>
      <c r="B51" s="72" t="s">
        <v>265</v>
      </c>
      <c r="C51" s="73"/>
      <c r="D51" s="74" t="s">
        <v>246</v>
      </c>
      <c r="E51" s="74">
        <v>2.2999999999999998</v>
      </c>
      <c r="F51" s="74" t="s">
        <v>246</v>
      </c>
      <c r="G51" s="74">
        <v>3.2</v>
      </c>
      <c r="H51" s="74">
        <f>E51*G51</f>
        <v>7.3599999999999994</v>
      </c>
      <c r="I51" s="74" t="s">
        <v>246</v>
      </c>
      <c r="J51" s="74" t="s">
        <v>246</v>
      </c>
      <c r="K51" s="74">
        <f>1.6*0.6</f>
        <v>0.96</v>
      </c>
      <c r="L51" s="74">
        <f t="shared" si="1"/>
        <v>6.3999999999999995</v>
      </c>
    </row>
    <row r="52" spans="1:12" ht="8.25" customHeight="1" x14ac:dyDescent="0.2">
      <c r="A52" s="404"/>
      <c r="B52" s="404"/>
      <c r="C52" s="404"/>
      <c r="D52" s="404"/>
      <c r="E52" s="404"/>
      <c r="F52" s="404"/>
      <c r="G52" s="404"/>
      <c r="H52" s="404"/>
      <c r="I52" s="404"/>
      <c r="J52" s="404"/>
      <c r="K52" s="404"/>
      <c r="L52" s="404"/>
    </row>
    <row r="53" spans="1:12" x14ac:dyDescent="0.2">
      <c r="A53" s="63" t="s">
        <v>195</v>
      </c>
      <c r="B53" s="64" t="str">
        <f>PLANILHA!D26</f>
        <v xml:space="preserve">TELA PASSARINHEIRA UNIVERSAL </v>
      </c>
      <c r="C53" s="63" t="s">
        <v>268</v>
      </c>
      <c r="D53" s="65" t="s">
        <v>246</v>
      </c>
      <c r="E53" s="65">
        <v>9.1999999999999993</v>
      </c>
      <c r="F53" s="65" t="s">
        <v>246</v>
      </c>
      <c r="G53" s="65" t="s">
        <v>246</v>
      </c>
      <c r="H53" s="65" t="s">
        <v>246</v>
      </c>
      <c r="I53" s="65" t="s">
        <v>246</v>
      </c>
      <c r="J53" s="65" t="s">
        <v>246</v>
      </c>
      <c r="K53" s="65" t="s">
        <v>246</v>
      </c>
      <c r="L53" s="66">
        <f>E53</f>
        <v>9.1999999999999993</v>
      </c>
    </row>
    <row r="54" spans="1:12" x14ac:dyDescent="0.2">
      <c r="A54" s="49" t="s">
        <v>196</v>
      </c>
      <c r="B54" s="34" t="str">
        <f>PLANILHA!D27</f>
        <v>TELA MOSQUITEIRO EM NYLON MALHA 14 ABERTURA 1,5MM</v>
      </c>
      <c r="C54" s="49" t="s">
        <v>249</v>
      </c>
      <c r="D54" s="50">
        <v>2</v>
      </c>
      <c r="E54" s="50">
        <v>1.6</v>
      </c>
      <c r="F54" s="50" t="s">
        <v>246</v>
      </c>
      <c r="G54" s="50">
        <v>0.6</v>
      </c>
      <c r="H54" s="50">
        <f>G54*E54</f>
        <v>0.96</v>
      </c>
      <c r="I54" s="50" t="s">
        <v>246</v>
      </c>
      <c r="J54" s="50" t="s">
        <v>246</v>
      </c>
      <c r="K54" s="50" t="s">
        <v>246</v>
      </c>
      <c r="L54" s="51">
        <f>H54*D54</f>
        <v>1.92</v>
      </c>
    </row>
    <row r="55" spans="1:12" x14ac:dyDescent="0.2">
      <c r="A55" s="49" t="s">
        <v>197</v>
      </c>
      <c r="B55" s="34" t="str">
        <f>PLANILHA!D28</f>
        <v>CAIXA P/ PROTEÇÃO DESCARGAS PADRÃO PRÓ-RURAL Nº 97</v>
      </c>
      <c r="C55" s="49" t="s">
        <v>267</v>
      </c>
      <c r="D55" s="50">
        <v>1</v>
      </c>
      <c r="E55" s="50" t="s">
        <v>246</v>
      </c>
      <c r="F55" s="50" t="s">
        <v>246</v>
      </c>
      <c r="G55" s="50" t="s">
        <v>246</v>
      </c>
      <c r="H55" s="50" t="s">
        <v>246</v>
      </c>
      <c r="I55" s="50" t="s">
        <v>246</v>
      </c>
      <c r="J55" s="50" t="s">
        <v>246</v>
      </c>
      <c r="K55" s="50" t="s">
        <v>246</v>
      </c>
      <c r="L55" s="51">
        <f>D55</f>
        <v>1</v>
      </c>
    </row>
    <row r="56" spans="1:12" x14ac:dyDescent="0.2">
      <c r="A56" s="63" t="s">
        <v>198</v>
      </c>
      <c r="B56" s="64" t="str">
        <f>PLANILHA!D29</f>
        <v xml:space="preserve">ESCAVACAO MECAN SOLO 1ªCAT PROF ATE 3M       </v>
      </c>
      <c r="C56" s="63" t="s">
        <v>248</v>
      </c>
      <c r="D56" s="65" t="s">
        <v>246</v>
      </c>
      <c r="E56" s="65">
        <v>30</v>
      </c>
      <c r="F56" s="65" t="s">
        <v>292</v>
      </c>
      <c r="G56" s="65">
        <v>0.8</v>
      </c>
      <c r="H56" s="65">
        <v>0.48</v>
      </c>
      <c r="I56" s="65">
        <f>H56*E56</f>
        <v>14.399999999999999</v>
      </c>
      <c r="J56" s="65" t="s">
        <v>246</v>
      </c>
      <c r="K56" s="65" t="s">
        <v>246</v>
      </c>
      <c r="L56" s="66">
        <f>I56</f>
        <v>14.399999999999999</v>
      </c>
    </row>
    <row r="57" spans="1:12" s="43" customFormat="1" x14ac:dyDescent="0.2">
      <c r="A57" s="63" t="s">
        <v>69</v>
      </c>
      <c r="B57" s="64" t="str">
        <f>PLANILHA!D30</f>
        <v>REGULARIZACAO DO FUNDO VALA</v>
      </c>
      <c r="C57" s="63" t="s">
        <v>248</v>
      </c>
      <c r="D57" s="65" t="s">
        <v>246</v>
      </c>
      <c r="E57" s="65">
        <v>30</v>
      </c>
      <c r="F57" s="65" t="s">
        <v>292</v>
      </c>
      <c r="G57" s="65">
        <v>0.8</v>
      </c>
      <c r="H57" s="65">
        <v>0.48</v>
      </c>
      <c r="I57" s="65">
        <f>H57*E57</f>
        <v>14.399999999999999</v>
      </c>
      <c r="J57" s="65" t="s">
        <v>246</v>
      </c>
      <c r="K57" s="65" t="s">
        <v>246</v>
      </c>
      <c r="L57" s="66">
        <f>I57</f>
        <v>14.399999999999999</v>
      </c>
    </row>
    <row r="58" spans="1:12" x14ac:dyDescent="0.2">
      <c r="A58" s="63" t="s">
        <v>70</v>
      </c>
      <c r="B58" s="64" t="str">
        <f>PLANILHA!D31</f>
        <v>REATERRO COM COMPACTACAO MECANICA</v>
      </c>
      <c r="C58" s="63" t="s">
        <v>248</v>
      </c>
      <c r="D58" s="65" t="s">
        <v>246</v>
      </c>
      <c r="E58" s="65">
        <v>30</v>
      </c>
      <c r="F58" s="65" t="s">
        <v>292</v>
      </c>
      <c r="G58" s="65">
        <v>0.8</v>
      </c>
      <c r="H58" s="65">
        <v>0.48</v>
      </c>
      <c r="I58" s="65">
        <f>H58*E58</f>
        <v>14.399999999999999</v>
      </c>
      <c r="J58" s="65" t="s">
        <v>246</v>
      </c>
      <c r="K58" s="65" t="s">
        <v>246</v>
      </c>
      <c r="L58" s="66">
        <f>I58</f>
        <v>14.399999999999999</v>
      </c>
    </row>
    <row r="59" spans="1:12" ht="25.5" x14ac:dyDescent="0.2">
      <c r="A59" s="63" t="s">
        <v>71</v>
      </c>
      <c r="B59" s="75" t="str">
        <f>PLANILHA!D32</f>
        <v>TUBO PVC PBA JEI, CLASSE 12, DN 50 MM, PARA REDE DE AGUA (NBR 5647)</v>
      </c>
      <c r="C59" s="49" t="s">
        <v>268</v>
      </c>
      <c r="D59" s="50" t="s">
        <v>246</v>
      </c>
      <c r="E59" s="50">
        <v>30</v>
      </c>
      <c r="F59" s="50" t="s">
        <v>246</v>
      </c>
      <c r="G59" s="50" t="s">
        <v>246</v>
      </c>
      <c r="H59" s="50" t="s">
        <v>246</v>
      </c>
      <c r="I59" s="50" t="s">
        <v>246</v>
      </c>
      <c r="J59" s="50" t="s">
        <v>246</v>
      </c>
      <c r="K59" s="50" t="s">
        <v>246</v>
      </c>
      <c r="L59" s="51">
        <f>E59</f>
        <v>30</v>
      </c>
    </row>
    <row r="60" spans="1:12" x14ac:dyDescent="0.2">
      <c r="A60" s="63" t="s">
        <v>199</v>
      </c>
      <c r="B60" s="34" t="str">
        <f>PLANILHA!D33</f>
        <v>ASSENTAMENTO TUBO PVC PBA DN 50</v>
      </c>
      <c r="C60" s="49" t="s">
        <v>268</v>
      </c>
      <c r="D60" s="50" t="s">
        <v>246</v>
      </c>
      <c r="E60" s="50">
        <v>30</v>
      </c>
      <c r="F60" s="50" t="s">
        <v>246</v>
      </c>
      <c r="G60" s="50" t="s">
        <v>246</v>
      </c>
      <c r="H60" s="50" t="s">
        <v>246</v>
      </c>
      <c r="I60" s="50" t="s">
        <v>246</v>
      </c>
      <c r="J60" s="50" t="s">
        <v>246</v>
      </c>
      <c r="K60" s="50" t="s">
        <v>246</v>
      </c>
      <c r="L60" s="51">
        <f>E60</f>
        <v>30</v>
      </c>
    </row>
    <row r="61" spans="1:12" ht="25.5" x14ac:dyDescent="0.2">
      <c r="A61" s="63" t="s">
        <v>200</v>
      </c>
      <c r="B61" s="75" t="str">
        <f>PLANILHA!D34</f>
        <v>INSTALAÇÕES ELÉTRICAS DA ESTAÇÃO ELEVATÓRIA DE AGUA - TRIFASICA-220V</v>
      </c>
      <c r="C61" s="49" t="s">
        <v>267</v>
      </c>
      <c r="D61" s="50">
        <v>1</v>
      </c>
      <c r="E61" s="50" t="s">
        <v>246</v>
      </c>
      <c r="F61" s="50" t="s">
        <v>246</v>
      </c>
      <c r="G61" s="50" t="s">
        <v>246</v>
      </c>
      <c r="H61" s="50" t="s">
        <v>246</v>
      </c>
      <c r="I61" s="50" t="s">
        <v>246</v>
      </c>
      <c r="J61" s="50" t="s">
        <v>246</v>
      </c>
      <c r="K61" s="50" t="s">
        <v>246</v>
      </c>
      <c r="L61" s="51">
        <f>D61</f>
        <v>1</v>
      </c>
    </row>
    <row r="62" spans="1:12" x14ac:dyDescent="0.2">
      <c r="A62" s="63" t="s">
        <v>72</v>
      </c>
      <c r="B62" s="34" t="str">
        <f>PLANILHA!D35</f>
        <v xml:space="preserve">MONT E ASSENT CJ MOTOBOMBA POT ATE 10CV </v>
      </c>
      <c r="C62" s="49" t="s">
        <v>267</v>
      </c>
      <c r="D62" s="50">
        <v>2</v>
      </c>
      <c r="E62" s="50" t="s">
        <v>246</v>
      </c>
      <c r="F62" s="50" t="s">
        <v>246</v>
      </c>
      <c r="G62" s="50" t="s">
        <v>246</v>
      </c>
      <c r="H62" s="50" t="s">
        <v>246</v>
      </c>
      <c r="I62" s="50" t="s">
        <v>246</v>
      </c>
      <c r="J62" s="50" t="s">
        <v>246</v>
      </c>
      <c r="K62" s="50" t="s">
        <v>246</v>
      </c>
      <c r="L62" s="51">
        <f>D62</f>
        <v>2</v>
      </c>
    </row>
    <row r="63" spans="1:12" ht="25.5" x14ac:dyDescent="0.2">
      <c r="A63" s="63" t="s">
        <v>73</v>
      </c>
      <c r="B63" s="75" t="str">
        <f>PLANILHA!D36</f>
        <v>FORNECIMENTO E ASSENTAMENTO DE MATERIAIS PARA BARRILETE 2"</v>
      </c>
      <c r="C63" s="49" t="s">
        <v>267</v>
      </c>
      <c r="D63" s="50">
        <v>1</v>
      </c>
      <c r="E63" s="50" t="s">
        <v>246</v>
      </c>
      <c r="F63" s="50" t="s">
        <v>246</v>
      </c>
      <c r="G63" s="50" t="s">
        <v>246</v>
      </c>
      <c r="H63" s="50" t="s">
        <v>246</v>
      </c>
      <c r="I63" s="50" t="s">
        <v>246</v>
      </c>
      <c r="J63" s="50" t="s">
        <v>246</v>
      </c>
      <c r="K63" s="50" t="s">
        <v>246</v>
      </c>
      <c r="L63" s="51">
        <f>D63</f>
        <v>1</v>
      </c>
    </row>
    <row r="64" spans="1:12" ht="25.5" x14ac:dyDescent="0.2">
      <c r="A64" s="63" t="s">
        <v>74</v>
      </c>
      <c r="B64" s="75" t="str">
        <f>PLANILHA!D37</f>
        <v>FORNECIMENTO E ASSENTAMENTO DE MATERIAIS PARA ELEVATÓRIA AGUA BRUTA (CASA DE BOMBAS)</v>
      </c>
      <c r="C64" s="49" t="s">
        <v>267</v>
      </c>
      <c r="D64" s="50">
        <v>1</v>
      </c>
      <c r="E64" s="50" t="s">
        <v>246</v>
      </c>
      <c r="F64" s="50" t="s">
        <v>246</v>
      </c>
      <c r="G64" s="50" t="s">
        <v>246</v>
      </c>
      <c r="H64" s="50" t="s">
        <v>246</v>
      </c>
      <c r="I64" s="50" t="s">
        <v>246</v>
      </c>
      <c r="J64" s="50" t="s">
        <v>246</v>
      </c>
      <c r="K64" s="50" t="s">
        <v>246</v>
      </c>
      <c r="L64" s="51">
        <f>D64</f>
        <v>1</v>
      </c>
    </row>
    <row r="65" spans="1:12" x14ac:dyDescent="0.2">
      <c r="A65" s="63" t="s">
        <v>75</v>
      </c>
      <c r="B65" s="34" t="str">
        <f>PLANILHA!D38</f>
        <v>CERCA C/ 6 FIOS ARAME FARPADO/MOURAO MAD</v>
      </c>
      <c r="C65" s="49" t="s">
        <v>268</v>
      </c>
      <c r="D65" s="50" t="s">
        <v>246</v>
      </c>
      <c r="E65" s="50">
        <v>18</v>
      </c>
      <c r="F65" s="50" t="s">
        <v>246</v>
      </c>
      <c r="G65" s="50" t="s">
        <v>246</v>
      </c>
      <c r="H65" s="50" t="s">
        <v>246</v>
      </c>
      <c r="I65" s="50" t="s">
        <v>246</v>
      </c>
      <c r="J65" s="50" t="s">
        <v>246</v>
      </c>
      <c r="K65" s="50" t="s">
        <v>246</v>
      </c>
      <c r="L65" s="51">
        <f>E65</f>
        <v>18</v>
      </c>
    </row>
    <row r="66" spans="1:12" x14ac:dyDescent="0.2">
      <c r="A66" s="63" t="s">
        <v>76</v>
      </c>
      <c r="B66" s="34" t="str">
        <f>PLANILHA!D39</f>
        <v>POSTE DT PADRAO TRIFASICO 16MM AEREO 63A H=7M/100DAN</v>
      </c>
      <c r="C66" s="49" t="s">
        <v>267</v>
      </c>
      <c r="D66" s="50">
        <v>1</v>
      </c>
      <c r="E66" s="50" t="s">
        <v>246</v>
      </c>
      <c r="F66" s="50" t="s">
        <v>246</v>
      </c>
      <c r="G66" s="50" t="s">
        <v>246</v>
      </c>
      <c r="H66" s="50" t="s">
        <v>246</v>
      </c>
      <c r="I66" s="50" t="s">
        <v>246</v>
      </c>
      <c r="J66" s="50" t="s">
        <v>246</v>
      </c>
      <c r="K66" s="50" t="s">
        <v>246</v>
      </c>
      <c r="L66" s="51">
        <f>D66</f>
        <v>1</v>
      </c>
    </row>
    <row r="67" spans="1:12" ht="25.5" x14ac:dyDescent="0.2">
      <c r="A67" s="63" t="s">
        <v>77</v>
      </c>
      <c r="B67" s="75" t="str">
        <f>PLANILHA!D40</f>
        <v>INSTALAÇÕES ELÉTRICAS PARA LIGAÇÃO DE CONJUNTO MOTOBOMBA POTÊNCIA 3,5 CV</v>
      </c>
      <c r="C67" s="49" t="s">
        <v>267</v>
      </c>
      <c r="D67" s="50">
        <v>1</v>
      </c>
      <c r="E67" s="50" t="s">
        <v>246</v>
      </c>
      <c r="F67" s="50" t="s">
        <v>246</v>
      </c>
      <c r="G67" s="50" t="s">
        <v>246</v>
      </c>
      <c r="H67" s="50" t="s">
        <v>246</v>
      </c>
      <c r="I67" s="50" t="s">
        <v>246</v>
      </c>
      <c r="J67" s="50" t="s">
        <v>246</v>
      </c>
      <c r="K67" s="50" t="s">
        <v>246</v>
      </c>
      <c r="L67" s="51">
        <f>D67</f>
        <v>1</v>
      </c>
    </row>
    <row r="68" spans="1:12" ht="8.25" customHeight="1" x14ac:dyDescent="0.2">
      <c r="A68" s="49"/>
      <c r="B68" s="75"/>
      <c r="C68" s="49"/>
      <c r="D68" s="50"/>
      <c r="E68" s="50"/>
      <c r="F68" s="50"/>
      <c r="G68" s="50"/>
      <c r="H68" s="50"/>
      <c r="I68" s="50"/>
      <c r="J68" s="50"/>
      <c r="K68" s="50"/>
      <c r="L68" s="51"/>
    </row>
    <row r="69" spans="1:12" x14ac:dyDescent="0.2">
      <c r="A69" s="54" t="s">
        <v>269</v>
      </c>
      <c r="B69" s="55" t="str">
        <f>PLANILHA!D42</f>
        <v>ESTAÇÃO DE TRATAMENTO DE ÁGUA</v>
      </c>
      <c r="C69" s="56"/>
      <c r="D69" s="57"/>
      <c r="E69" s="57"/>
      <c r="F69" s="57"/>
      <c r="G69" s="57"/>
      <c r="H69" s="57"/>
      <c r="I69" s="57"/>
      <c r="J69" s="57"/>
      <c r="K69" s="57"/>
      <c r="L69" s="58"/>
    </row>
    <row r="70" spans="1:12" x14ac:dyDescent="0.2">
      <c r="A70" s="63" t="s">
        <v>21</v>
      </c>
      <c r="B70" s="64" t="str">
        <f>PLANILHA!D43</f>
        <v>ESCAVACAO MECAN SOLO 1ªCAT PROF ATE 3M</v>
      </c>
      <c r="C70" s="63" t="s">
        <v>248</v>
      </c>
      <c r="D70" s="65" t="s">
        <v>246</v>
      </c>
      <c r="E70" s="65">
        <v>292</v>
      </c>
      <c r="F70" s="65">
        <v>0.3</v>
      </c>
      <c r="G70" s="65">
        <v>0.3</v>
      </c>
      <c r="H70" s="65">
        <f>G70*F70</f>
        <v>0.09</v>
      </c>
      <c r="I70" s="65">
        <f>H70*E70</f>
        <v>26.279999999999998</v>
      </c>
      <c r="J70" s="65" t="s">
        <v>246</v>
      </c>
      <c r="K70" s="65" t="s">
        <v>246</v>
      </c>
      <c r="L70" s="66">
        <f>I70</f>
        <v>26.279999999999998</v>
      </c>
    </row>
    <row r="71" spans="1:12" x14ac:dyDescent="0.2">
      <c r="A71" s="63" t="s">
        <v>22</v>
      </c>
      <c r="B71" s="64" t="str">
        <f>PLANILHA!D44</f>
        <v>CARGA E DESCARGA QQ TIPO SOLO(BOTA FORA)</v>
      </c>
      <c r="C71" s="63" t="s">
        <v>248</v>
      </c>
      <c r="D71" s="65" t="s">
        <v>246</v>
      </c>
      <c r="E71" s="65">
        <v>292</v>
      </c>
      <c r="F71" s="65">
        <v>0.3</v>
      </c>
      <c r="G71" s="65">
        <v>0.3</v>
      </c>
      <c r="H71" s="65">
        <f>G71*F71</f>
        <v>0.09</v>
      </c>
      <c r="I71" s="65">
        <f>H71*E71</f>
        <v>26.279999999999998</v>
      </c>
      <c r="J71" s="65" t="s">
        <v>246</v>
      </c>
      <c r="K71" s="65" t="s">
        <v>246</v>
      </c>
      <c r="L71" s="66">
        <f>I71</f>
        <v>26.279999999999998</v>
      </c>
    </row>
    <row r="72" spans="1:12" x14ac:dyDescent="0.2">
      <c r="A72" s="63" t="s">
        <v>83</v>
      </c>
      <c r="B72" s="64" t="str">
        <f>PLANILHA!D45</f>
        <v>GRAMA ESMERALDA PLACAS, TERRA VEG. 2,0CM</v>
      </c>
      <c r="C72" s="63" t="s">
        <v>249</v>
      </c>
      <c r="D72" s="65" t="s">
        <v>246</v>
      </c>
      <c r="E72" s="65">
        <v>35</v>
      </c>
      <c r="F72" s="65">
        <v>24.5</v>
      </c>
      <c r="G72" s="65" t="s">
        <v>246</v>
      </c>
      <c r="H72" s="65">
        <f>E72*F72</f>
        <v>857.5</v>
      </c>
      <c r="I72" s="65" t="s">
        <v>246</v>
      </c>
      <c r="J72" s="65" t="s">
        <v>246</v>
      </c>
      <c r="K72" s="65">
        <v>457.52</v>
      </c>
      <c r="L72" s="66">
        <f>H72-K72</f>
        <v>399.98</v>
      </c>
    </row>
    <row r="73" spans="1:12" s="43" customFormat="1" x14ac:dyDescent="0.2">
      <c r="A73" s="63" t="s">
        <v>201</v>
      </c>
      <c r="B73" s="64" t="str">
        <f>PLANILHA!D46</f>
        <v>FORNECIMENTO E ASSENTAMENTO DE MATERIAIS PARA ETA</v>
      </c>
      <c r="C73" s="63" t="s">
        <v>267</v>
      </c>
      <c r="D73" s="65">
        <v>1</v>
      </c>
      <c r="E73" s="65" t="s">
        <v>246</v>
      </c>
      <c r="F73" s="65" t="s">
        <v>246</v>
      </c>
      <c r="G73" s="65" t="s">
        <v>246</v>
      </c>
      <c r="H73" s="65" t="s">
        <v>246</v>
      </c>
      <c r="I73" s="65" t="s">
        <v>246</v>
      </c>
      <c r="J73" s="65" t="s">
        <v>246</v>
      </c>
      <c r="K73" s="65" t="s">
        <v>246</v>
      </c>
      <c r="L73" s="66">
        <f>D73</f>
        <v>1</v>
      </c>
    </row>
    <row r="74" spans="1:12" s="43" customFormat="1" ht="25.5" x14ac:dyDescent="0.2">
      <c r="A74" s="63" t="s">
        <v>84</v>
      </c>
      <c r="B74" s="71" t="str">
        <f>PLANILHA!D47</f>
        <v>PORTÃO DE FERRO DE ABRIR EM BARRA CHATA, CHAPA E TUBO, INCLUSIVE CHUMBAMENTO</v>
      </c>
      <c r="C74" s="63" t="s">
        <v>249</v>
      </c>
      <c r="D74" s="65">
        <v>1</v>
      </c>
      <c r="E74" s="65">
        <v>6</v>
      </c>
      <c r="F74" s="65" t="s">
        <v>246</v>
      </c>
      <c r="G74" s="65">
        <v>1.8</v>
      </c>
      <c r="H74" s="65">
        <f>E74*G74</f>
        <v>10.8</v>
      </c>
      <c r="I74" s="65" t="s">
        <v>246</v>
      </c>
      <c r="J74" s="65" t="s">
        <v>246</v>
      </c>
      <c r="K74" s="65" t="s">
        <v>246</v>
      </c>
      <c r="L74" s="66">
        <f>H74</f>
        <v>10.8</v>
      </c>
    </row>
    <row r="75" spans="1:12" s="43" customFormat="1" x14ac:dyDescent="0.2">
      <c r="A75" s="63" t="s">
        <v>85</v>
      </c>
      <c r="B75" s="64" t="str">
        <f>PLANILHA!D48</f>
        <v>PV-ANEL CONCR DN 600 PROF ATE 1,25M</v>
      </c>
      <c r="C75" s="63" t="s">
        <v>267</v>
      </c>
      <c r="D75" s="65">
        <v>9</v>
      </c>
      <c r="E75" s="65" t="s">
        <v>246</v>
      </c>
      <c r="F75" s="65" t="s">
        <v>246</v>
      </c>
      <c r="G75" s="65" t="s">
        <v>246</v>
      </c>
      <c r="H75" s="65" t="s">
        <v>246</v>
      </c>
      <c r="I75" s="65" t="s">
        <v>246</v>
      </c>
      <c r="J75" s="65" t="s">
        <v>246</v>
      </c>
      <c r="K75" s="65" t="s">
        <v>246</v>
      </c>
      <c r="L75" s="66">
        <f>D75</f>
        <v>9</v>
      </c>
    </row>
    <row r="76" spans="1:12" s="43" customFormat="1" ht="16.5" customHeight="1" x14ac:dyDescent="0.2">
      <c r="A76" s="63" t="s">
        <v>86</v>
      </c>
      <c r="B76" s="71" t="str">
        <f>PLANILHA!D49</f>
        <v>POSTE DT PADRAO TRIFASICO 16MM AEREO 63A H=7M/100DAN</v>
      </c>
      <c r="C76" s="63" t="s">
        <v>267</v>
      </c>
      <c r="D76" s="65">
        <v>1</v>
      </c>
      <c r="E76" s="65" t="s">
        <v>246</v>
      </c>
      <c r="F76" s="65" t="s">
        <v>246</v>
      </c>
      <c r="G76" s="65" t="s">
        <v>246</v>
      </c>
      <c r="H76" s="65" t="s">
        <v>246</v>
      </c>
      <c r="I76" s="65" t="s">
        <v>246</v>
      </c>
      <c r="J76" s="65" t="s">
        <v>246</v>
      </c>
      <c r="K76" s="65" t="s">
        <v>246</v>
      </c>
      <c r="L76" s="66">
        <f>D76</f>
        <v>1</v>
      </c>
    </row>
    <row r="77" spans="1:12" ht="8.25" customHeight="1" x14ac:dyDescent="0.2">
      <c r="A77" s="404"/>
      <c r="B77" s="404"/>
      <c r="C77" s="404"/>
      <c r="D77" s="404"/>
      <c r="E77" s="404"/>
      <c r="F77" s="404"/>
      <c r="G77" s="404"/>
      <c r="H77" s="404"/>
      <c r="I77" s="404"/>
      <c r="J77" s="404"/>
      <c r="K77" s="404"/>
      <c r="L77" s="404"/>
    </row>
    <row r="78" spans="1:12" x14ac:dyDescent="0.2">
      <c r="A78" s="54" t="s">
        <v>270</v>
      </c>
      <c r="B78" s="55" t="str">
        <f>PLANILHA!D51</f>
        <v>CASA DE QUÍMICA</v>
      </c>
      <c r="C78" s="56"/>
      <c r="D78" s="57"/>
      <c r="E78" s="57"/>
      <c r="F78" s="57"/>
      <c r="G78" s="57"/>
      <c r="H78" s="57"/>
      <c r="I78" s="57"/>
      <c r="J78" s="57"/>
      <c r="K78" s="57"/>
      <c r="L78" s="58"/>
    </row>
    <row r="79" spans="1:12" x14ac:dyDescent="0.2">
      <c r="A79" s="49" t="s">
        <v>202</v>
      </c>
      <c r="B79" s="34" t="str">
        <f>PLANILHA!D52</f>
        <v>FORRO EM REGUAS DE PVC</v>
      </c>
      <c r="C79" s="49" t="s">
        <v>249</v>
      </c>
      <c r="D79" s="50"/>
      <c r="E79" s="50">
        <v>4</v>
      </c>
      <c r="F79" s="50">
        <v>2.9</v>
      </c>
      <c r="G79" s="50" t="s">
        <v>246</v>
      </c>
      <c r="H79" s="50">
        <f>E79*F79</f>
        <v>11.6</v>
      </c>
      <c r="I79" s="50" t="s">
        <v>246</v>
      </c>
      <c r="J79" s="50" t="s">
        <v>246</v>
      </c>
      <c r="K79" s="50">
        <f>0.15*(1.25+1)</f>
        <v>0.33749999999999997</v>
      </c>
      <c r="L79" s="51">
        <f>H79-K79</f>
        <v>11.262499999999999</v>
      </c>
    </row>
    <row r="80" spans="1:12" x14ac:dyDescent="0.2">
      <c r="A80" s="49" t="s">
        <v>203</v>
      </c>
      <c r="B80" s="34" t="str">
        <f>PLANILHA!D53</f>
        <v xml:space="preserve">TELA PASSARINHEIRA UNIVERSAL </v>
      </c>
      <c r="C80" s="49" t="s">
        <v>268</v>
      </c>
      <c r="D80" s="50"/>
      <c r="E80" s="50">
        <v>15</v>
      </c>
      <c r="F80" s="50" t="s">
        <v>246</v>
      </c>
      <c r="G80" s="50" t="s">
        <v>246</v>
      </c>
      <c r="H80" s="50" t="s">
        <v>246</v>
      </c>
      <c r="I80" s="50" t="s">
        <v>246</v>
      </c>
      <c r="J80" s="50" t="s">
        <v>246</v>
      </c>
      <c r="K80" s="50" t="s">
        <v>246</v>
      </c>
      <c r="L80" s="51">
        <f>E80</f>
        <v>15</v>
      </c>
    </row>
    <row r="81" spans="1:12" x14ac:dyDescent="0.2">
      <c r="A81" s="49" t="s">
        <v>204</v>
      </c>
      <c r="B81" s="34" t="str">
        <f>PLANILHA!D54</f>
        <v>TELA MOSQUITEIRO EM NYLON MALHA 14 ABERTURA 1,5MM</v>
      </c>
      <c r="C81" s="49" t="s">
        <v>249</v>
      </c>
      <c r="D81" s="50" t="s">
        <v>246</v>
      </c>
      <c r="E81" s="50">
        <v>2.2000000000000002</v>
      </c>
      <c r="F81" s="50" t="s">
        <v>246</v>
      </c>
      <c r="G81" s="50">
        <v>0.6</v>
      </c>
      <c r="H81" s="50">
        <f>G81*E81</f>
        <v>1.32</v>
      </c>
      <c r="I81" s="50" t="s">
        <v>246</v>
      </c>
      <c r="J81" s="50" t="s">
        <v>246</v>
      </c>
      <c r="K81" s="50" t="s">
        <v>246</v>
      </c>
      <c r="L81" s="51">
        <f>H81</f>
        <v>1.32</v>
      </c>
    </row>
    <row r="82" spans="1:12" ht="8.25" customHeight="1" x14ac:dyDescent="0.2">
      <c r="A82" s="404"/>
      <c r="B82" s="404"/>
      <c r="C82" s="404"/>
      <c r="D82" s="404"/>
      <c r="E82" s="404"/>
      <c r="F82" s="404"/>
      <c r="G82" s="404"/>
      <c r="H82" s="404"/>
      <c r="I82" s="404"/>
      <c r="J82" s="404"/>
      <c r="K82" s="404"/>
      <c r="L82" s="404"/>
    </row>
    <row r="83" spans="1:12" x14ac:dyDescent="0.2">
      <c r="A83" s="49" t="s">
        <v>205</v>
      </c>
      <c r="B83" s="34" t="str">
        <f>PLANILHA!D55</f>
        <v>EMASSAMENTO PAREDE MASSA ACRÍLICA</v>
      </c>
      <c r="C83" s="49" t="s">
        <v>249</v>
      </c>
      <c r="D83" s="50"/>
      <c r="E83" s="50"/>
      <c r="F83" s="50"/>
      <c r="G83" s="50"/>
      <c r="H83" s="50"/>
      <c r="I83" s="50"/>
      <c r="J83" s="50"/>
      <c r="K83" s="50"/>
      <c r="L83" s="51">
        <f>SUM(L84:L92)</f>
        <v>88.54</v>
      </c>
    </row>
    <row r="84" spans="1:12" x14ac:dyDescent="0.2">
      <c r="A84" s="49"/>
      <c r="B84" s="72" t="s">
        <v>271</v>
      </c>
      <c r="C84" s="73"/>
      <c r="D84" s="74" t="s">
        <v>246</v>
      </c>
      <c r="E84" s="74">
        <v>4</v>
      </c>
      <c r="F84" s="74" t="s">
        <v>246</v>
      </c>
      <c r="G84" s="74">
        <v>2.8</v>
      </c>
      <c r="H84" s="74">
        <f>E84*G84</f>
        <v>11.2</v>
      </c>
      <c r="I84" s="74" t="s">
        <v>246</v>
      </c>
      <c r="J84" s="74" t="s">
        <v>246</v>
      </c>
      <c r="K84" s="74">
        <f>0.7*2.1</f>
        <v>1.47</v>
      </c>
      <c r="L84" s="74">
        <f t="shared" ref="L84:L92" si="2">H84-K84</f>
        <v>9.7299999999999986</v>
      </c>
    </row>
    <row r="85" spans="1:12" x14ac:dyDescent="0.2">
      <c r="A85" s="49"/>
      <c r="B85" s="72" t="s">
        <v>272</v>
      </c>
      <c r="C85" s="73"/>
      <c r="D85" s="74" t="s">
        <v>246</v>
      </c>
      <c r="E85" s="74">
        <v>2.9</v>
      </c>
      <c r="F85" s="74" t="s">
        <v>246</v>
      </c>
      <c r="G85" s="74">
        <v>3.05</v>
      </c>
      <c r="H85" s="74">
        <f t="shared" ref="H85:H92" si="3">G85*E85</f>
        <v>8.8449999999999989</v>
      </c>
      <c r="I85" s="74" t="s">
        <v>246</v>
      </c>
      <c r="J85" s="74" t="s">
        <v>246</v>
      </c>
      <c r="K85" s="74">
        <v>0</v>
      </c>
      <c r="L85" s="74">
        <f t="shared" si="2"/>
        <v>8.8449999999999989</v>
      </c>
    </row>
    <row r="86" spans="1:12" x14ac:dyDescent="0.2">
      <c r="A86" s="49"/>
      <c r="B86" s="72" t="s">
        <v>273</v>
      </c>
      <c r="C86" s="73"/>
      <c r="D86" s="74" t="s">
        <v>246</v>
      </c>
      <c r="E86" s="74">
        <v>4</v>
      </c>
      <c r="F86" s="74" t="s">
        <v>246</v>
      </c>
      <c r="G86" s="74">
        <v>3.3</v>
      </c>
      <c r="H86" s="74">
        <f t="shared" si="3"/>
        <v>13.2</v>
      </c>
      <c r="I86" s="74" t="s">
        <v>246</v>
      </c>
      <c r="J86" s="74" t="s">
        <v>246</v>
      </c>
      <c r="K86" s="74">
        <f>(1.6*0.6)+(0.6*2.1)</f>
        <v>2.2199999999999998</v>
      </c>
      <c r="L86" s="74">
        <f t="shared" si="2"/>
        <v>10.98</v>
      </c>
    </row>
    <row r="87" spans="1:12" x14ac:dyDescent="0.2">
      <c r="A87" s="49"/>
      <c r="B87" s="72" t="s">
        <v>274</v>
      </c>
      <c r="C87" s="73"/>
      <c r="D87" s="74" t="s">
        <v>246</v>
      </c>
      <c r="E87" s="74">
        <v>2.9</v>
      </c>
      <c r="F87" s="74" t="s">
        <v>246</v>
      </c>
      <c r="G87" s="74">
        <v>3.05</v>
      </c>
      <c r="H87" s="74">
        <f t="shared" si="3"/>
        <v>8.8449999999999989</v>
      </c>
      <c r="I87" s="74" t="s">
        <v>246</v>
      </c>
      <c r="J87" s="74" t="s">
        <v>246</v>
      </c>
      <c r="K87" s="74">
        <f>1*1</f>
        <v>1</v>
      </c>
      <c r="L87" s="74">
        <f t="shared" si="2"/>
        <v>7.8449999999999989</v>
      </c>
    </row>
    <row r="88" spans="1:12" x14ac:dyDescent="0.2">
      <c r="A88" s="49"/>
      <c r="B88" s="72" t="s">
        <v>279</v>
      </c>
      <c r="C88" s="73"/>
      <c r="D88" s="74" t="s">
        <v>246</v>
      </c>
      <c r="E88" s="74">
        <v>4.5</v>
      </c>
      <c r="F88" s="74" t="s">
        <v>246</v>
      </c>
      <c r="G88" s="74">
        <v>2.4</v>
      </c>
      <c r="H88" s="74">
        <f t="shared" si="3"/>
        <v>10.799999999999999</v>
      </c>
      <c r="I88" s="74" t="s">
        <v>246</v>
      </c>
      <c r="J88" s="74" t="s">
        <v>246</v>
      </c>
      <c r="K88" s="74">
        <f>(0.6*2.1)+(0.6*0.6)</f>
        <v>1.62</v>
      </c>
      <c r="L88" s="74">
        <f t="shared" si="2"/>
        <v>9.18</v>
      </c>
    </row>
    <row r="89" spans="1:12" x14ac:dyDescent="0.2">
      <c r="A89" s="49"/>
      <c r="B89" s="72" t="s">
        <v>275</v>
      </c>
      <c r="C89" s="73"/>
      <c r="D89" s="74" t="s">
        <v>246</v>
      </c>
      <c r="E89" s="74">
        <v>4.3</v>
      </c>
      <c r="F89" s="74" t="s">
        <v>246</v>
      </c>
      <c r="G89" s="74">
        <v>2.8</v>
      </c>
      <c r="H89" s="74">
        <f t="shared" si="3"/>
        <v>12.04</v>
      </c>
      <c r="I89" s="74" t="s">
        <v>246</v>
      </c>
      <c r="J89" s="74" t="s">
        <v>246</v>
      </c>
      <c r="K89" s="74">
        <f>0.7*2.1</f>
        <v>1.47</v>
      </c>
      <c r="L89" s="74">
        <f t="shared" si="2"/>
        <v>10.569999999999999</v>
      </c>
    </row>
    <row r="90" spans="1:12" x14ac:dyDescent="0.2">
      <c r="A90" s="49"/>
      <c r="B90" s="72" t="s">
        <v>276</v>
      </c>
      <c r="C90" s="73"/>
      <c r="D90" s="74" t="s">
        <v>246</v>
      </c>
      <c r="E90" s="74">
        <v>3.2</v>
      </c>
      <c r="F90" s="74" t="s">
        <v>246</v>
      </c>
      <c r="G90" s="74">
        <v>3.05</v>
      </c>
      <c r="H90" s="74">
        <f t="shared" si="3"/>
        <v>9.76</v>
      </c>
      <c r="I90" s="74" t="s">
        <v>246</v>
      </c>
      <c r="J90" s="74" t="s">
        <v>246</v>
      </c>
      <c r="K90" s="74">
        <v>0</v>
      </c>
      <c r="L90" s="74">
        <f t="shared" si="2"/>
        <v>9.76</v>
      </c>
    </row>
    <row r="91" spans="1:12" x14ac:dyDescent="0.2">
      <c r="A91" s="49"/>
      <c r="B91" s="72" t="s">
        <v>277</v>
      </c>
      <c r="C91" s="73"/>
      <c r="D91" s="74" t="s">
        <v>246</v>
      </c>
      <c r="E91" s="74">
        <v>4.3</v>
      </c>
      <c r="F91" s="74" t="s">
        <v>246</v>
      </c>
      <c r="G91" s="74">
        <v>3.3</v>
      </c>
      <c r="H91" s="74">
        <f t="shared" si="3"/>
        <v>14.19</v>
      </c>
      <c r="I91" s="74" t="s">
        <v>246</v>
      </c>
      <c r="J91" s="74" t="s">
        <v>246</v>
      </c>
      <c r="K91" s="74">
        <f>(1.6*0.6)+(0.6*0.6)</f>
        <v>1.3199999999999998</v>
      </c>
      <c r="L91" s="74">
        <f t="shared" si="2"/>
        <v>12.87</v>
      </c>
    </row>
    <row r="92" spans="1:12" x14ac:dyDescent="0.2">
      <c r="A92" s="49"/>
      <c r="B92" s="72" t="s">
        <v>278</v>
      </c>
      <c r="C92" s="73"/>
      <c r="D92" s="74" t="s">
        <v>246</v>
      </c>
      <c r="E92" s="74">
        <v>3.2</v>
      </c>
      <c r="F92" s="74" t="s">
        <v>246</v>
      </c>
      <c r="G92" s="74">
        <v>3.05</v>
      </c>
      <c r="H92" s="74">
        <f t="shared" si="3"/>
        <v>9.76</v>
      </c>
      <c r="I92" s="74" t="s">
        <v>246</v>
      </c>
      <c r="J92" s="74" t="s">
        <v>246</v>
      </c>
      <c r="K92" s="74">
        <v>1</v>
      </c>
      <c r="L92" s="74">
        <f t="shared" si="2"/>
        <v>8.76</v>
      </c>
    </row>
    <row r="93" spans="1:12" ht="8.25" customHeight="1" x14ac:dyDescent="0.2">
      <c r="A93" s="404"/>
      <c r="B93" s="404"/>
      <c r="C93" s="404"/>
      <c r="D93" s="404"/>
      <c r="E93" s="404"/>
      <c r="F93" s="404"/>
      <c r="G93" s="404"/>
      <c r="H93" s="404"/>
      <c r="I93" s="404"/>
      <c r="J93" s="404"/>
      <c r="K93" s="404"/>
      <c r="L93" s="404"/>
    </row>
    <row r="94" spans="1:12" x14ac:dyDescent="0.2">
      <c r="A94" s="49" t="s">
        <v>206</v>
      </c>
      <c r="B94" s="34" t="str">
        <f>PLANILHA!D56</f>
        <v xml:space="preserve">PINT ESMALTE SINT PAREDE/TETO 2 DEMAOS </v>
      </c>
      <c r="C94" s="49" t="s">
        <v>249</v>
      </c>
      <c r="D94" s="50"/>
      <c r="E94" s="50"/>
      <c r="F94" s="50"/>
      <c r="G94" s="50"/>
      <c r="H94" s="50"/>
      <c r="I94" s="50"/>
      <c r="J94" s="50"/>
      <c r="K94" s="50"/>
      <c r="L94" s="51">
        <f>SUM(L95:L103)</f>
        <v>88.54</v>
      </c>
    </row>
    <row r="95" spans="1:12" x14ac:dyDescent="0.2">
      <c r="A95" s="49"/>
      <c r="B95" s="72" t="s">
        <v>271</v>
      </c>
      <c r="C95" s="73"/>
      <c r="D95" s="74" t="s">
        <v>246</v>
      </c>
      <c r="E95" s="74">
        <v>4</v>
      </c>
      <c r="F95" s="74" t="s">
        <v>246</v>
      </c>
      <c r="G95" s="74">
        <v>2.8</v>
      </c>
      <c r="H95" s="74">
        <f>E95*G95</f>
        <v>11.2</v>
      </c>
      <c r="I95" s="74" t="s">
        <v>246</v>
      </c>
      <c r="J95" s="74" t="s">
        <v>246</v>
      </c>
      <c r="K95" s="74">
        <f>0.7*2.1</f>
        <v>1.47</v>
      </c>
      <c r="L95" s="74">
        <f t="shared" ref="L95:L103" si="4">H95-K95</f>
        <v>9.7299999999999986</v>
      </c>
    </row>
    <row r="96" spans="1:12" x14ac:dyDescent="0.2">
      <c r="A96" s="49"/>
      <c r="B96" s="72" t="s">
        <v>272</v>
      </c>
      <c r="C96" s="73"/>
      <c r="D96" s="74" t="s">
        <v>246</v>
      </c>
      <c r="E96" s="74">
        <v>2.9</v>
      </c>
      <c r="F96" s="74" t="s">
        <v>246</v>
      </c>
      <c r="G96" s="74">
        <v>3.05</v>
      </c>
      <c r="H96" s="74">
        <f t="shared" ref="H96:H103" si="5">G96*E96</f>
        <v>8.8449999999999989</v>
      </c>
      <c r="I96" s="74" t="s">
        <v>246</v>
      </c>
      <c r="J96" s="74" t="s">
        <v>246</v>
      </c>
      <c r="K96" s="74">
        <v>0</v>
      </c>
      <c r="L96" s="74">
        <f t="shared" si="4"/>
        <v>8.8449999999999989</v>
      </c>
    </row>
    <row r="97" spans="1:12" x14ac:dyDescent="0.2">
      <c r="A97" s="49"/>
      <c r="B97" s="72" t="s">
        <v>273</v>
      </c>
      <c r="C97" s="73"/>
      <c r="D97" s="74" t="s">
        <v>246</v>
      </c>
      <c r="E97" s="74">
        <v>4</v>
      </c>
      <c r="F97" s="74" t="s">
        <v>246</v>
      </c>
      <c r="G97" s="74">
        <v>3.3</v>
      </c>
      <c r="H97" s="74">
        <f t="shared" si="5"/>
        <v>13.2</v>
      </c>
      <c r="I97" s="74" t="s">
        <v>246</v>
      </c>
      <c r="J97" s="74" t="s">
        <v>246</v>
      </c>
      <c r="K97" s="74">
        <f>(1.6*0.6)+(0.6*2.1)</f>
        <v>2.2199999999999998</v>
      </c>
      <c r="L97" s="74">
        <f t="shared" si="4"/>
        <v>10.98</v>
      </c>
    </row>
    <row r="98" spans="1:12" x14ac:dyDescent="0.2">
      <c r="A98" s="49"/>
      <c r="B98" s="72" t="s">
        <v>274</v>
      </c>
      <c r="C98" s="73"/>
      <c r="D98" s="74" t="s">
        <v>246</v>
      </c>
      <c r="E98" s="74">
        <v>2.9</v>
      </c>
      <c r="F98" s="74" t="s">
        <v>246</v>
      </c>
      <c r="G98" s="74">
        <v>3.05</v>
      </c>
      <c r="H98" s="74">
        <f t="shared" si="5"/>
        <v>8.8449999999999989</v>
      </c>
      <c r="I98" s="74" t="s">
        <v>246</v>
      </c>
      <c r="J98" s="74" t="s">
        <v>246</v>
      </c>
      <c r="K98" s="74">
        <f>1*1</f>
        <v>1</v>
      </c>
      <c r="L98" s="74">
        <f t="shared" si="4"/>
        <v>7.8449999999999989</v>
      </c>
    </row>
    <row r="99" spans="1:12" x14ac:dyDescent="0.2">
      <c r="A99" s="49"/>
      <c r="B99" s="72" t="s">
        <v>279</v>
      </c>
      <c r="C99" s="73"/>
      <c r="D99" s="74" t="s">
        <v>246</v>
      </c>
      <c r="E99" s="74">
        <v>4.5</v>
      </c>
      <c r="F99" s="74" t="s">
        <v>246</v>
      </c>
      <c r="G99" s="74">
        <v>2.4</v>
      </c>
      <c r="H99" s="74">
        <f t="shared" si="5"/>
        <v>10.799999999999999</v>
      </c>
      <c r="I99" s="74" t="s">
        <v>246</v>
      </c>
      <c r="J99" s="74" t="s">
        <v>246</v>
      </c>
      <c r="K99" s="74">
        <f>(0.6*2.1)+(0.6*0.6)</f>
        <v>1.62</v>
      </c>
      <c r="L99" s="74">
        <f t="shared" si="4"/>
        <v>9.18</v>
      </c>
    </row>
    <row r="100" spans="1:12" x14ac:dyDescent="0.2">
      <c r="A100" s="49"/>
      <c r="B100" s="72" t="s">
        <v>275</v>
      </c>
      <c r="C100" s="73"/>
      <c r="D100" s="74" t="s">
        <v>246</v>
      </c>
      <c r="E100" s="74">
        <v>4.3</v>
      </c>
      <c r="F100" s="74" t="s">
        <v>246</v>
      </c>
      <c r="G100" s="74">
        <v>2.8</v>
      </c>
      <c r="H100" s="74">
        <f t="shared" si="5"/>
        <v>12.04</v>
      </c>
      <c r="I100" s="74" t="s">
        <v>246</v>
      </c>
      <c r="J100" s="74" t="s">
        <v>246</v>
      </c>
      <c r="K100" s="74">
        <f>0.7*2.1</f>
        <v>1.47</v>
      </c>
      <c r="L100" s="74">
        <f t="shared" si="4"/>
        <v>10.569999999999999</v>
      </c>
    </row>
    <row r="101" spans="1:12" x14ac:dyDescent="0.2">
      <c r="A101" s="49"/>
      <c r="B101" s="72" t="s">
        <v>276</v>
      </c>
      <c r="C101" s="73"/>
      <c r="D101" s="74" t="s">
        <v>246</v>
      </c>
      <c r="E101" s="74">
        <v>3.2</v>
      </c>
      <c r="F101" s="74" t="s">
        <v>246</v>
      </c>
      <c r="G101" s="74">
        <v>3.05</v>
      </c>
      <c r="H101" s="74">
        <f t="shared" si="5"/>
        <v>9.76</v>
      </c>
      <c r="I101" s="74" t="s">
        <v>246</v>
      </c>
      <c r="J101" s="74" t="s">
        <v>246</v>
      </c>
      <c r="K101" s="74">
        <v>0</v>
      </c>
      <c r="L101" s="74">
        <f t="shared" si="4"/>
        <v>9.76</v>
      </c>
    </row>
    <row r="102" spans="1:12" x14ac:dyDescent="0.2">
      <c r="A102" s="49"/>
      <c r="B102" s="72" t="s">
        <v>277</v>
      </c>
      <c r="C102" s="73"/>
      <c r="D102" s="74" t="s">
        <v>246</v>
      </c>
      <c r="E102" s="74">
        <v>4.3</v>
      </c>
      <c r="F102" s="74" t="s">
        <v>246</v>
      </c>
      <c r="G102" s="74">
        <v>3.3</v>
      </c>
      <c r="H102" s="74">
        <f t="shared" si="5"/>
        <v>14.19</v>
      </c>
      <c r="I102" s="74" t="s">
        <v>246</v>
      </c>
      <c r="J102" s="74" t="s">
        <v>246</v>
      </c>
      <c r="K102" s="74">
        <f>(1.6*0.6)+(0.6*0.6)</f>
        <v>1.3199999999999998</v>
      </c>
      <c r="L102" s="74">
        <f t="shared" si="4"/>
        <v>12.87</v>
      </c>
    </row>
    <row r="103" spans="1:12" x14ac:dyDescent="0.2">
      <c r="A103" s="49"/>
      <c r="B103" s="72" t="s">
        <v>278</v>
      </c>
      <c r="C103" s="73"/>
      <c r="D103" s="74" t="s">
        <v>246</v>
      </c>
      <c r="E103" s="74">
        <v>3.2</v>
      </c>
      <c r="F103" s="74" t="s">
        <v>246</v>
      </c>
      <c r="G103" s="74">
        <v>3.05</v>
      </c>
      <c r="H103" s="74">
        <f t="shared" si="5"/>
        <v>9.76</v>
      </c>
      <c r="I103" s="74" t="s">
        <v>246</v>
      </c>
      <c r="J103" s="74" t="s">
        <v>246</v>
      </c>
      <c r="K103" s="74">
        <v>1</v>
      </c>
      <c r="L103" s="74">
        <f t="shared" si="4"/>
        <v>8.76</v>
      </c>
    </row>
    <row r="104" spans="1:12" ht="8.25" customHeight="1" x14ac:dyDescent="0.2">
      <c r="A104" s="404"/>
      <c r="B104" s="404"/>
      <c r="C104" s="404"/>
      <c r="D104" s="404"/>
      <c r="E104" s="404"/>
      <c r="F104" s="404"/>
      <c r="G104" s="404"/>
      <c r="H104" s="404"/>
      <c r="I104" s="404"/>
      <c r="J104" s="404"/>
      <c r="K104" s="404"/>
      <c r="L104" s="404"/>
    </row>
    <row r="105" spans="1:12" x14ac:dyDescent="0.2">
      <c r="A105" s="49" t="s">
        <v>207</v>
      </c>
      <c r="B105" s="34" t="str">
        <f>PLANILHA!D57</f>
        <v xml:space="preserve">CUBA ACO INOX DE EMBUTIR </v>
      </c>
      <c r="C105" s="49" t="s">
        <v>267</v>
      </c>
      <c r="D105" s="50">
        <v>1</v>
      </c>
      <c r="E105" s="50" t="s">
        <v>246</v>
      </c>
      <c r="F105" s="50" t="s">
        <v>246</v>
      </c>
      <c r="G105" s="50" t="s">
        <v>246</v>
      </c>
      <c r="H105" s="50" t="s">
        <v>246</v>
      </c>
      <c r="I105" s="50" t="s">
        <v>246</v>
      </c>
      <c r="J105" s="50" t="s">
        <v>246</v>
      </c>
      <c r="K105" s="50" t="s">
        <v>246</v>
      </c>
      <c r="L105" s="51">
        <f>D105</f>
        <v>1</v>
      </c>
    </row>
    <row r="106" spans="1:12" x14ac:dyDescent="0.2">
      <c r="A106" s="49" t="s">
        <v>208</v>
      </c>
      <c r="B106" s="34" t="str">
        <f>PLANILHA!D58</f>
        <v xml:space="preserve">PORTA MADEIRA PRANCHETA, COMPLETA </v>
      </c>
      <c r="C106" s="49" t="s">
        <v>249</v>
      </c>
      <c r="D106" s="50"/>
      <c r="E106" s="50"/>
      <c r="F106" s="50"/>
      <c r="G106" s="50"/>
      <c r="H106" s="50"/>
      <c r="I106" s="50"/>
      <c r="J106" s="50"/>
      <c r="K106" s="50"/>
      <c r="L106" s="51">
        <f>SUM(L107:L108)</f>
        <v>2.73</v>
      </c>
    </row>
    <row r="107" spans="1:12" x14ac:dyDescent="0.2">
      <c r="A107" s="49"/>
      <c r="B107" s="72" t="s">
        <v>281</v>
      </c>
      <c r="C107" s="73"/>
      <c r="D107" s="74">
        <v>1</v>
      </c>
      <c r="E107" s="74" t="s">
        <v>246</v>
      </c>
      <c r="F107" s="74">
        <v>0.6</v>
      </c>
      <c r="G107" s="74">
        <v>2.1</v>
      </c>
      <c r="H107" s="74">
        <f>G107*F107</f>
        <v>1.26</v>
      </c>
      <c r="I107" s="74" t="s">
        <v>246</v>
      </c>
      <c r="J107" s="74" t="s">
        <v>246</v>
      </c>
      <c r="K107" s="74" t="s">
        <v>246</v>
      </c>
      <c r="L107" s="76">
        <f>H107</f>
        <v>1.26</v>
      </c>
    </row>
    <row r="108" spans="1:12" x14ac:dyDescent="0.2">
      <c r="A108" s="49"/>
      <c r="B108" s="72" t="s">
        <v>282</v>
      </c>
      <c r="C108" s="73"/>
      <c r="D108" s="74">
        <v>1</v>
      </c>
      <c r="E108" s="74" t="s">
        <v>246</v>
      </c>
      <c r="F108" s="74">
        <v>0.7</v>
      </c>
      <c r="G108" s="74">
        <v>2.1</v>
      </c>
      <c r="H108" s="74">
        <f>G108*F108</f>
        <v>1.47</v>
      </c>
      <c r="I108" s="74" t="s">
        <v>246</v>
      </c>
      <c r="J108" s="74" t="s">
        <v>246</v>
      </c>
      <c r="K108" s="74" t="s">
        <v>246</v>
      </c>
      <c r="L108" s="76">
        <f>H108</f>
        <v>1.47</v>
      </c>
    </row>
    <row r="109" spans="1:12" ht="7.5" customHeight="1" x14ac:dyDescent="0.2">
      <c r="A109" s="404"/>
      <c r="B109" s="404"/>
      <c r="C109" s="404"/>
      <c r="D109" s="404"/>
      <c r="E109" s="404"/>
      <c r="F109" s="404"/>
      <c r="G109" s="404"/>
      <c r="H109" s="404"/>
      <c r="I109" s="404"/>
      <c r="J109" s="404"/>
      <c r="K109" s="404"/>
      <c r="L109" s="404"/>
    </row>
    <row r="110" spans="1:12" x14ac:dyDescent="0.2">
      <c r="A110" s="49" t="s">
        <v>209</v>
      </c>
      <c r="B110" s="34" t="str">
        <f>PLANILHA!D59</f>
        <v xml:space="preserve">RODAPE EM CERAMICA </v>
      </c>
      <c r="C110" s="49" t="s">
        <v>268</v>
      </c>
      <c r="D110" s="50" t="s">
        <v>246</v>
      </c>
      <c r="E110" s="50">
        <v>12.5</v>
      </c>
      <c r="F110" s="50" t="s">
        <v>246</v>
      </c>
      <c r="G110" s="50" t="s">
        <v>246</v>
      </c>
      <c r="H110" s="50" t="s">
        <v>246</v>
      </c>
      <c r="I110" s="50" t="s">
        <v>246</v>
      </c>
      <c r="J110" s="50" t="s">
        <v>246</v>
      </c>
      <c r="K110" s="50" t="s">
        <v>246</v>
      </c>
      <c r="L110" s="51">
        <f>E110</f>
        <v>12.5</v>
      </c>
    </row>
    <row r="111" spans="1:12" x14ac:dyDescent="0.2">
      <c r="A111" s="49" t="s">
        <v>210</v>
      </c>
      <c r="B111" s="34" t="str">
        <f>PLANILHA!D60</f>
        <v>BANCADA EM GRANITO</v>
      </c>
      <c r="C111" s="49" t="s">
        <v>249</v>
      </c>
      <c r="D111" s="50">
        <v>1</v>
      </c>
      <c r="E111" s="50">
        <v>1.1499999999999999</v>
      </c>
      <c r="F111" s="50">
        <v>0.6</v>
      </c>
      <c r="G111" s="50" t="s">
        <v>246</v>
      </c>
      <c r="H111" s="50">
        <f>F111*E111</f>
        <v>0.69</v>
      </c>
      <c r="I111" s="50" t="s">
        <v>246</v>
      </c>
      <c r="J111" s="50" t="s">
        <v>246</v>
      </c>
      <c r="K111" s="50" t="s">
        <v>246</v>
      </c>
      <c r="L111" s="51">
        <f>H111</f>
        <v>0.69</v>
      </c>
    </row>
    <row r="112" spans="1:12" ht="51" x14ac:dyDescent="0.2">
      <c r="A112" s="49" t="s">
        <v>117</v>
      </c>
      <c r="B112" s="75" t="str">
        <f>PLANILHA!D61</f>
        <v>BACIA SANITÁRIA DE LOUÇA BRANCA, COM CAIXA ACOPLADA DUPLO ACIONAMENTO, MARCA DE REF. DECA LINHA RAVENA OU EQUIVALENTE, INCLUSIVE ASSENTO PLÁSTICO E ACESSÓRIOS DE FIXAÇÃO</v>
      </c>
      <c r="C112" s="49" t="s">
        <v>267</v>
      </c>
      <c r="D112" s="50">
        <v>1</v>
      </c>
      <c r="E112" s="50" t="s">
        <v>246</v>
      </c>
      <c r="F112" s="50" t="s">
        <v>246</v>
      </c>
      <c r="G112" s="50" t="s">
        <v>246</v>
      </c>
      <c r="H112" s="50" t="s">
        <v>246</v>
      </c>
      <c r="I112" s="50" t="s">
        <v>246</v>
      </c>
      <c r="J112" s="50" t="s">
        <v>246</v>
      </c>
      <c r="K112" s="50" t="s">
        <v>246</v>
      </c>
      <c r="L112" s="51">
        <f>D112</f>
        <v>1</v>
      </c>
    </row>
    <row r="113" spans="1:12" x14ac:dyDescent="0.2">
      <c r="A113" s="49" t="s">
        <v>211</v>
      </c>
      <c r="B113" s="34" t="str">
        <f>PLANILHA!D62</f>
        <v>LIMPEZA MANUAL DE CAIXA</v>
      </c>
      <c r="C113" s="49" t="s">
        <v>267</v>
      </c>
      <c r="D113" s="50">
        <v>1</v>
      </c>
      <c r="E113" s="50" t="s">
        <v>246</v>
      </c>
      <c r="F113" s="50" t="s">
        <v>246</v>
      </c>
      <c r="G113" s="50" t="s">
        <v>246</v>
      </c>
      <c r="H113" s="50" t="s">
        <v>246</v>
      </c>
      <c r="I113" s="50" t="s">
        <v>246</v>
      </c>
      <c r="J113" s="50" t="s">
        <v>246</v>
      </c>
      <c r="K113" s="50" t="s">
        <v>246</v>
      </c>
      <c r="L113" s="51">
        <f>D113</f>
        <v>1</v>
      </c>
    </row>
    <row r="114" spans="1:12" ht="25.5" x14ac:dyDescent="0.2">
      <c r="A114" s="49" t="s">
        <v>179</v>
      </c>
      <c r="B114" s="75" t="str">
        <f>PLANILHA!D63</f>
        <v>PORTÃO DE FERRO DE ABRIR EM BARRA CHATA, CHAPA E TUBO, INCLUSIVE CHUMBAMENTO</v>
      </c>
      <c r="C114" s="49" t="s">
        <v>249</v>
      </c>
      <c r="D114" s="50">
        <v>1</v>
      </c>
      <c r="E114" s="50" t="s">
        <v>246</v>
      </c>
      <c r="F114" s="50">
        <v>0.7</v>
      </c>
      <c r="G114" s="50">
        <v>2.1</v>
      </c>
      <c r="H114" s="50">
        <f>G114*F114</f>
        <v>1.47</v>
      </c>
      <c r="I114" s="50" t="s">
        <v>246</v>
      </c>
      <c r="J114" s="50" t="s">
        <v>246</v>
      </c>
      <c r="K114" s="50" t="s">
        <v>246</v>
      </c>
      <c r="L114" s="51">
        <f>H114</f>
        <v>1.47</v>
      </c>
    </row>
    <row r="115" spans="1:12" x14ac:dyDescent="0.2">
      <c r="A115" s="49" t="s">
        <v>180</v>
      </c>
      <c r="B115" s="34" t="str">
        <f>PLANILHA!D64</f>
        <v>MATERIAL ELÉTRICO PARA CASA DE QUÍMICA</v>
      </c>
      <c r="C115" s="49" t="s">
        <v>267</v>
      </c>
      <c r="D115" s="50">
        <v>1</v>
      </c>
      <c r="E115" s="50" t="s">
        <v>246</v>
      </c>
      <c r="F115" s="50" t="s">
        <v>246</v>
      </c>
      <c r="G115" s="50" t="s">
        <v>246</v>
      </c>
      <c r="H115" s="50" t="s">
        <v>246</v>
      </c>
      <c r="I115" s="50" t="s">
        <v>246</v>
      </c>
      <c r="J115" s="50" t="s">
        <v>246</v>
      </c>
      <c r="K115" s="50" t="s">
        <v>246</v>
      </c>
      <c r="L115" s="51">
        <f>D115</f>
        <v>1</v>
      </c>
    </row>
    <row r="116" spans="1:12" x14ac:dyDescent="0.2">
      <c r="A116" s="49" t="s">
        <v>212</v>
      </c>
      <c r="B116" s="34" t="str">
        <f>PLANILHA!D65</f>
        <v>INSTALAÇÕES HIDRO-SANITÁRIAS PARA CASA DE QUÍMICA</v>
      </c>
      <c r="C116" s="49" t="s">
        <v>267</v>
      </c>
      <c r="D116" s="50">
        <v>1</v>
      </c>
      <c r="E116" s="50" t="s">
        <v>246</v>
      </c>
      <c r="F116" s="50" t="s">
        <v>246</v>
      </c>
      <c r="G116" s="50" t="s">
        <v>246</v>
      </c>
      <c r="H116" s="50" t="s">
        <v>246</v>
      </c>
      <c r="I116" s="50" t="s">
        <v>246</v>
      </c>
      <c r="J116" s="50" t="s">
        <v>246</v>
      </c>
      <c r="K116" s="50" t="s">
        <v>246</v>
      </c>
      <c r="L116" s="51">
        <f>D116</f>
        <v>1</v>
      </c>
    </row>
    <row r="117" spans="1:12" ht="25.5" x14ac:dyDescent="0.2">
      <c r="A117" s="49" t="s">
        <v>213</v>
      </c>
      <c r="B117" s="75" t="str">
        <f>PLANILHA!D66</f>
        <v>MATERIAIS E EQUIPAMENTOS PARA DOSAGEM DOS PRODUTOS QUÍMICOS</v>
      </c>
      <c r="C117" s="49" t="s">
        <v>267</v>
      </c>
      <c r="D117" s="50">
        <v>1</v>
      </c>
      <c r="E117" s="50" t="s">
        <v>246</v>
      </c>
      <c r="F117" s="50" t="s">
        <v>246</v>
      </c>
      <c r="G117" s="50" t="s">
        <v>246</v>
      </c>
      <c r="H117" s="50" t="s">
        <v>246</v>
      </c>
      <c r="I117" s="50" t="s">
        <v>246</v>
      </c>
      <c r="J117" s="50" t="s">
        <v>246</v>
      </c>
      <c r="K117" s="50" t="s">
        <v>246</v>
      </c>
      <c r="L117" s="51">
        <f>D117</f>
        <v>1</v>
      </c>
    </row>
    <row r="118" spans="1:12" x14ac:dyDescent="0.2">
      <c r="A118" s="49" t="s">
        <v>214</v>
      </c>
      <c r="B118" s="34" t="str">
        <f>PLANILHA!D67</f>
        <v>MATERIAIS E EQUIPAMENTOS DE LABORATÓRIO</v>
      </c>
      <c r="C118" s="49" t="s">
        <v>267</v>
      </c>
      <c r="D118" s="50">
        <v>1</v>
      </c>
      <c r="E118" s="50" t="s">
        <v>246</v>
      </c>
      <c r="F118" s="50" t="s">
        <v>246</v>
      </c>
      <c r="G118" s="50" t="s">
        <v>246</v>
      </c>
      <c r="H118" s="50" t="s">
        <v>246</v>
      </c>
      <c r="I118" s="50" t="s">
        <v>246</v>
      </c>
      <c r="J118" s="50" t="s">
        <v>246</v>
      </c>
      <c r="K118" s="50" t="s">
        <v>246</v>
      </c>
      <c r="L118" s="51">
        <f>D118</f>
        <v>1</v>
      </c>
    </row>
    <row r="119" spans="1:12" x14ac:dyDescent="0.2">
      <c r="A119" s="49" t="s">
        <v>215</v>
      </c>
      <c r="B119" s="34" t="str">
        <f>PLANILHA!D68</f>
        <v>JANELA ALUMÍNIO ABRIR/CORRER, COMPL</v>
      </c>
      <c r="C119" s="49" t="s">
        <v>249</v>
      </c>
      <c r="D119" s="50">
        <v>1</v>
      </c>
      <c r="E119" s="50">
        <v>1</v>
      </c>
      <c r="F119" s="50" t="s">
        <v>246</v>
      </c>
      <c r="G119" s="50">
        <v>1</v>
      </c>
      <c r="H119" s="50">
        <f>G119*E119</f>
        <v>1</v>
      </c>
      <c r="I119" s="50" t="s">
        <v>246</v>
      </c>
      <c r="J119" s="50" t="s">
        <v>246</v>
      </c>
      <c r="K119" s="50" t="s">
        <v>246</v>
      </c>
      <c r="L119" s="51">
        <f>H119</f>
        <v>1</v>
      </c>
    </row>
    <row r="120" spans="1:12" ht="51" x14ac:dyDescent="0.2">
      <c r="A120" s="49" t="s">
        <v>118</v>
      </c>
      <c r="B120" s="75" t="str">
        <f>PLANILHA!D69</f>
        <v>FOSSA SÉPTICA DE ANÉIS PRÉ-MOLDADOS DE CONCRETO, DIÂMETRO 2.00 M, HÚTIL 2.0M COMPLETA, INCLUINDO TAMPA C/VISITA DE 60CM, CONCRETO P/ FUNDO ESP.10 CM, TUBO DE LIMPEZA E ESCAVAÇÃO, CONF. DETALHE EM PROJETO</v>
      </c>
      <c r="C120" s="49" t="s">
        <v>267</v>
      </c>
      <c r="D120" s="50">
        <v>1</v>
      </c>
      <c r="E120" s="50" t="s">
        <v>246</v>
      </c>
      <c r="F120" s="50" t="s">
        <v>246</v>
      </c>
      <c r="G120" s="50" t="s">
        <v>246</v>
      </c>
      <c r="H120" s="50" t="s">
        <v>246</v>
      </c>
      <c r="I120" s="50" t="s">
        <v>246</v>
      </c>
      <c r="J120" s="50" t="s">
        <v>246</v>
      </c>
      <c r="K120" s="50" t="s">
        <v>246</v>
      </c>
      <c r="L120" s="51">
        <f>D120</f>
        <v>1</v>
      </c>
    </row>
    <row r="121" spans="1:12" ht="8.25" customHeight="1" x14ac:dyDescent="0.2">
      <c r="A121" s="404"/>
      <c r="B121" s="404"/>
      <c r="C121" s="404"/>
      <c r="D121" s="404"/>
      <c r="E121" s="404"/>
      <c r="F121" s="404"/>
      <c r="G121" s="404"/>
      <c r="H121" s="404"/>
      <c r="I121" s="404"/>
      <c r="J121" s="404"/>
      <c r="K121" s="404"/>
      <c r="L121" s="404"/>
    </row>
    <row r="122" spans="1:12" x14ac:dyDescent="0.2">
      <c r="A122" s="54" t="s">
        <v>280</v>
      </c>
      <c r="B122" s="55" t="str">
        <f>PLANILHA!D71</f>
        <v>FLOCULADOR/DECANTADOR</v>
      </c>
      <c r="C122" s="56"/>
      <c r="D122" s="57"/>
      <c r="E122" s="57"/>
      <c r="F122" s="57"/>
      <c r="G122" s="57"/>
      <c r="H122" s="57"/>
      <c r="I122" s="57"/>
      <c r="J122" s="57"/>
      <c r="K122" s="57"/>
      <c r="L122" s="58"/>
    </row>
    <row r="123" spans="1:12" x14ac:dyDescent="0.2">
      <c r="A123" s="49" t="s">
        <v>216</v>
      </c>
      <c r="B123" s="34" t="str">
        <f>PLANILHA!D72</f>
        <v>PISO CIMENTADO E=2,0CM SOB/ LASTRO 8,0CM</v>
      </c>
      <c r="C123" s="49" t="s">
        <v>249</v>
      </c>
      <c r="D123" s="50" t="s">
        <v>246</v>
      </c>
      <c r="E123" s="50">
        <v>30.2</v>
      </c>
      <c r="F123" s="50">
        <v>0.6</v>
      </c>
      <c r="G123" s="50" t="s">
        <v>246</v>
      </c>
      <c r="H123" s="50">
        <f>E123*F123</f>
        <v>18.119999999999997</v>
      </c>
      <c r="I123" s="50" t="s">
        <v>246</v>
      </c>
      <c r="J123" s="50" t="s">
        <v>246</v>
      </c>
      <c r="K123" s="50" t="s">
        <v>246</v>
      </c>
      <c r="L123" s="51">
        <f>H123</f>
        <v>18.119999999999997</v>
      </c>
    </row>
    <row r="124" spans="1:12" x14ac:dyDescent="0.2">
      <c r="A124" s="49" t="s">
        <v>217</v>
      </c>
      <c r="B124" s="34" t="str">
        <f>PLANILHA!D73</f>
        <v>PINTURA PVA LATEX PAREDE/TETO 2 DEMAOS</v>
      </c>
      <c r="C124" s="49" t="s">
        <v>249</v>
      </c>
      <c r="D124" s="50" t="s">
        <v>246</v>
      </c>
      <c r="E124" s="50">
        <v>25.36</v>
      </c>
      <c r="F124" s="50" t="s">
        <v>246</v>
      </c>
      <c r="G124" s="50">
        <v>1.44</v>
      </c>
      <c r="H124" s="50">
        <f>E124*G124</f>
        <v>36.5184</v>
      </c>
      <c r="I124" s="50" t="s">
        <v>246</v>
      </c>
      <c r="J124" s="50" t="s">
        <v>246</v>
      </c>
      <c r="K124" s="50" t="s">
        <v>246</v>
      </c>
      <c r="L124" s="51">
        <f>H124</f>
        <v>36.5184</v>
      </c>
    </row>
    <row r="125" spans="1:12" x14ac:dyDescent="0.2">
      <c r="A125" s="49" t="s">
        <v>218</v>
      </c>
      <c r="B125" s="64" t="str">
        <f>PLANILHA!D74</f>
        <v>IMPERM SIKA 101 OU SIMILAR TRES DEMAOS</v>
      </c>
      <c r="C125" s="63" t="s">
        <v>249</v>
      </c>
      <c r="D125" s="65" t="s">
        <v>246</v>
      </c>
      <c r="E125" s="414"/>
      <c r="F125" s="415"/>
      <c r="G125" s="415"/>
      <c r="H125" s="415"/>
      <c r="I125" s="415"/>
      <c r="J125" s="415"/>
      <c r="K125" s="416"/>
      <c r="L125" s="66">
        <f>L126</f>
        <v>55.25</v>
      </c>
    </row>
    <row r="126" spans="1:12" s="79" customFormat="1" ht="15" customHeight="1" x14ac:dyDescent="0.2">
      <c r="A126" s="68"/>
      <c r="B126" s="67" t="s">
        <v>293</v>
      </c>
      <c r="C126" s="68"/>
      <c r="D126" s="69" t="s">
        <v>246</v>
      </c>
      <c r="E126" s="69" t="s">
        <v>294</v>
      </c>
      <c r="F126" s="69" t="s">
        <v>246</v>
      </c>
      <c r="G126" s="69" t="s">
        <v>294</v>
      </c>
      <c r="H126" s="69">
        <v>55.25</v>
      </c>
      <c r="I126" s="69" t="s">
        <v>246</v>
      </c>
      <c r="J126" s="69" t="s">
        <v>246</v>
      </c>
      <c r="K126" s="69" t="s">
        <v>246</v>
      </c>
      <c r="L126" s="69">
        <f>H126</f>
        <v>55.25</v>
      </c>
    </row>
    <row r="127" spans="1:12" x14ac:dyDescent="0.2">
      <c r="A127" s="63" t="s">
        <v>89</v>
      </c>
      <c r="B127" s="64" t="str">
        <f>PLANILHA!D75</f>
        <v>ESTRUTURA EM MADEIRA DE LEI</v>
      </c>
      <c r="C127" s="63" t="s">
        <v>248</v>
      </c>
      <c r="D127" s="65"/>
      <c r="E127" s="65" t="s">
        <v>294</v>
      </c>
      <c r="F127" s="65" t="s">
        <v>294</v>
      </c>
      <c r="G127" s="65" t="s">
        <v>294</v>
      </c>
      <c r="H127" s="65" t="s">
        <v>246</v>
      </c>
      <c r="I127" s="65">
        <v>1.5</v>
      </c>
      <c r="J127" s="69" t="s">
        <v>246</v>
      </c>
      <c r="K127" s="69" t="s">
        <v>246</v>
      </c>
      <c r="L127" s="66">
        <f>I127</f>
        <v>1.5</v>
      </c>
    </row>
    <row r="128" spans="1:12" x14ac:dyDescent="0.2">
      <c r="A128" s="49" t="s">
        <v>90</v>
      </c>
      <c r="B128" s="34" t="str">
        <f>PLANILHA!D76</f>
        <v>LIMPEZA MANUAL DE CAIXA</v>
      </c>
      <c r="C128" s="49" t="s">
        <v>267</v>
      </c>
      <c r="D128" s="50">
        <v>2</v>
      </c>
      <c r="E128" s="50" t="s">
        <v>246</v>
      </c>
      <c r="F128" s="50" t="s">
        <v>246</v>
      </c>
      <c r="G128" s="50" t="s">
        <v>246</v>
      </c>
      <c r="H128" s="50" t="s">
        <v>246</v>
      </c>
      <c r="I128" s="50" t="s">
        <v>246</v>
      </c>
      <c r="J128" s="50" t="s">
        <v>246</v>
      </c>
      <c r="K128" s="50" t="s">
        <v>246</v>
      </c>
      <c r="L128" s="51">
        <f>D128</f>
        <v>2</v>
      </c>
    </row>
    <row r="129" spans="1:12" x14ac:dyDescent="0.2">
      <c r="A129" s="49" t="s">
        <v>219</v>
      </c>
      <c r="B129" s="34" t="str">
        <f>PLANILHA!D77</f>
        <v>FORN/ASSENT MATERIAIS PARA FLOC/DECANTADOR 3L/S</v>
      </c>
      <c r="C129" s="49" t="s">
        <v>267</v>
      </c>
      <c r="D129" s="50">
        <v>1</v>
      </c>
      <c r="E129" s="50" t="s">
        <v>246</v>
      </c>
      <c r="F129" s="50" t="s">
        <v>246</v>
      </c>
      <c r="G129" s="50" t="s">
        <v>246</v>
      </c>
      <c r="H129" s="50" t="s">
        <v>246</v>
      </c>
      <c r="I129" s="50" t="s">
        <v>246</v>
      </c>
      <c r="J129" s="50" t="s">
        <v>246</v>
      </c>
      <c r="K129" s="50" t="s">
        <v>246</v>
      </c>
      <c r="L129" s="51">
        <f>D129</f>
        <v>1</v>
      </c>
    </row>
    <row r="130" spans="1:12" ht="38.25" x14ac:dyDescent="0.2">
      <c r="A130" s="49" t="s">
        <v>301</v>
      </c>
      <c r="B130" s="75" t="s">
        <v>302</v>
      </c>
      <c r="C130" s="49" t="s">
        <v>249</v>
      </c>
      <c r="D130" s="50">
        <v>10</v>
      </c>
      <c r="E130" s="50" t="s">
        <v>294</v>
      </c>
      <c r="F130" s="50" t="s">
        <v>246</v>
      </c>
      <c r="G130" s="50" t="s">
        <v>294</v>
      </c>
      <c r="H130" s="50">
        <v>10</v>
      </c>
      <c r="I130" s="50" t="s">
        <v>246</v>
      </c>
      <c r="J130" s="50" t="s">
        <v>246</v>
      </c>
      <c r="K130" s="50" t="s">
        <v>246</v>
      </c>
      <c r="L130" s="51">
        <f>D130</f>
        <v>10</v>
      </c>
    </row>
    <row r="131" spans="1:12" ht="8.25" customHeight="1" x14ac:dyDescent="0.2">
      <c r="A131" s="404"/>
      <c r="B131" s="404"/>
      <c r="C131" s="404"/>
      <c r="D131" s="404"/>
      <c r="E131" s="404"/>
      <c r="F131" s="404"/>
      <c r="G131" s="404"/>
      <c r="H131" s="404"/>
      <c r="I131" s="404"/>
      <c r="J131" s="404"/>
      <c r="K131" s="404"/>
      <c r="L131" s="404"/>
    </row>
    <row r="132" spans="1:12" x14ac:dyDescent="0.2">
      <c r="A132" s="54" t="s">
        <v>283</v>
      </c>
      <c r="B132" s="55" t="str">
        <f>PLANILHA!D80</f>
        <v>FILTRO RÁPIDO 3L/S</v>
      </c>
      <c r="C132" s="56"/>
      <c r="D132" s="57"/>
      <c r="E132" s="57"/>
      <c r="F132" s="57"/>
      <c r="G132" s="57"/>
      <c r="H132" s="57"/>
      <c r="I132" s="57"/>
      <c r="J132" s="57"/>
      <c r="K132" s="57"/>
      <c r="L132" s="58"/>
    </row>
    <row r="133" spans="1:12" ht="25.5" x14ac:dyDescent="0.2">
      <c r="A133" s="49" t="s">
        <v>23</v>
      </c>
      <c r="B133" s="75" t="str">
        <f>PLANILHA!D81</f>
        <v>FORNECIMENTO E ASSENTAMENTO DE FILTRO 3 L/S EM FIBRA DE VIDRO PADRÃO PRÓ-RURAL N.º 05/2000</v>
      </c>
      <c r="C133" s="49" t="s">
        <v>267</v>
      </c>
      <c r="D133" s="50">
        <v>1</v>
      </c>
      <c r="E133" s="50" t="s">
        <v>246</v>
      </c>
      <c r="F133" s="50" t="s">
        <v>246</v>
      </c>
      <c r="G133" s="50" t="s">
        <v>246</v>
      </c>
      <c r="H133" s="50" t="s">
        <v>246</v>
      </c>
      <c r="I133" s="50" t="s">
        <v>246</v>
      </c>
      <c r="J133" s="50" t="s">
        <v>246</v>
      </c>
      <c r="K133" s="50" t="s">
        <v>246</v>
      </c>
      <c r="L133" s="51">
        <f>D133</f>
        <v>1</v>
      </c>
    </row>
    <row r="134" spans="1:12" x14ac:dyDescent="0.2">
      <c r="A134" s="49" t="s">
        <v>95</v>
      </c>
      <c r="B134" s="75" t="str">
        <f>PLANILHA!D82</f>
        <v>CAIXA P/ PROTEÇÃO DESCARGAS PADRÃO PRÓ-RURAL Nº 97</v>
      </c>
      <c r="C134" s="49" t="s">
        <v>267</v>
      </c>
      <c r="D134" s="50">
        <v>1</v>
      </c>
      <c r="E134" s="50" t="s">
        <v>246</v>
      </c>
      <c r="F134" s="50" t="s">
        <v>246</v>
      </c>
      <c r="G134" s="50" t="s">
        <v>246</v>
      </c>
      <c r="H134" s="50" t="s">
        <v>246</v>
      </c>
      <c r="I134" s="50" t="s">
        <v>246</v>
      </c>
      <c r="J134" s="50" t="s">
        <v>246</v>
      </c>
      <c r="K134" s="50" t="s">
        <v>246</v>
      </c>
      <c r="L134" s="51">
        <f>D134</f>
        <v>1</v>
      </c>
    </row>
    <row r="135" spans="1:12" ht="8.25" customHeight="1" x14ac:dyDescent="0.2">
      <c r="A135" s="404"/>
      <c r="B135" s="404"/>
      <c r="C135" s="404"/>
      <c r="D135" s="404"/>
      <c r="E135" s="404"/>
      <c r="F135" s="404"/>
      <c r="G135" s="404"/>
      <c r="H135" s="404"/>
      <c r="I135" s="404"/>
      <c r="J135" s="404"/>
      <c r="K135" s="404"/>
      <c r="L135" s="404"/>
    </row>
    <row r="136" spans="1:12" x14ac:dyDescent="0.2">
      <c r="A136" s="54" t="s">
        <v>284</v>
      </c>
      <c r="B136" s="55" t="str">
        <f>PLANILHA!D84</f>
        <v>ELEVATÓRIA DE ÁGUA TRATADA</v>
      </c>
      <c r="C136" s="56"/>
      <c r="D136" s="57"/>
      <c r="E136" s="57"/>
      <c r="F136" s="57"/>
      <c r="G136" s="57"/>
      <c r="H136" s="57"/>
      <c r="I136" s="57"/>
      <c r="J136" s="57"/>
      <c r="K136" s="57"/>
      <c r="L136" s="58"/>
    </row>
    <row r="137" spans="1:12" x14ac:dyDescent="0.2">
      <c r="A137" s="49" t="s">
        <v>24</v>
      </c>
      <c r="B137" s="34" t="str">
        <f>PLANILHA!D85</f>
        <v>PORTA MADEIRA PRANCHETA, COMPLETA</v>
      </c>
      <c r="C137" s="49" t="s">
        <v>249</v>
      </c>
      <c r="D137" s="50">
        <v>2</v>
      </c>
      <c r="E137" s="50" t="s">
        <v>246</v>
      </c>
      <c r="F137" s="50">
        <v>1</v>
      </c>
      <c r="G137" s="50">
        <v>1.6</v>
      </c>
      <c r="H137" s="50">
        <f>G137*F137</f>
        <v>1.6</v>
      </c>
      <c r="I137" s="50" t="s">
        <v>246</v>
      </c>
      <c r="J137" s="50" t="s">
        <v>246</v>
      </c>
      <c r="K137" s="50" t="s">
        <v>246</v>
      </c>
      <c r="L137" s="51">
        <f>H137*D137</f>
        <v>3.2</v>
      </c>
    </row>
    <row r="138" spans="1:12" ht="33" customHeight="1" x14ac:dyDescent="0.2">
      <c r="A138" s="49" t="s">
        <v>173</v>
      </c>
      <c r="B138" s="75" t="str">
        <f>PLANILHA!D86</f>
        <v>PISO CIMENTADO TRACO 1:3 (CIMENTO E AREIA) ACABAMENTO LISO ESPESSURA 2 CM, PREPARO MECANICO DA ARGAMASSA</v>
      </c>
      <c r="C138" s="49" t="s">
        <v>249</v>
      </c>
      <c r="D138" s="50" t="s">
        <v>246</v>
      </c>
      <c r="E138" s="50">
        <v>9</v>
      </c>
      <c r="F138" s="50">
        <v>0.5</v>
      </c>
      <c r="G138" s="50" t="s">
        <v>246</v>
      </c>
      <c r="H138" s="50">
        <f>E138*F138</f>
        <v>4.5</v>
      </c>
      <c r="I138" s="50" t="s">
        <v>246</v>
      </c>
      <c r="J138" s="50" t="s">
        <v>246</v>
      </c>
      <c r="K138" s="50" t="s">
        <v>246</v>
      </c>
      <c r="L138" s="51">
        <f>H138</f>
        <v>4.5</v>
      </c>
    </row>
    <row r="139" spans="1:12" x14ac:dyDescent="0.2">
      <c r="A139" s="49" t="s">
        <v>97</v>
      </c>
      <c r="B139" s="34" t="str">
        <f>PLANILHA!D87</f>
        <v>FORRO EM REGUAS DE PVC</v>
      </c>
      <c r="C139" s="49" t="s">
        <v>249</v>
      </c>
      <c r="D139" s="50" t="s">
        <v>246</v>
      </c>
      <c r="E139" s="50">
        <v>2.5</v>
      </c>
      <c r="F139" s="50">
        <v>0.6</v>
      </c>
      <c r="G139" s="50" t="s">
        <v>246</v>
      </c>
      <c r="H139" s="50">
        <f>E139*F139</f>
        <v>1.5</v>
      </c>
      <c r="I139" s="50" t="s">
        <v>246</v>
      </c>
      <c r="J139" s="50" t="s">
        <v>246</v>
      </c>
      <c r="K139" s="50" t="s">
        <v>246</v>
      </c>
      <c r="L139" s="51">
        <f>H139</f>
        <v>1.5</v>
      </c>
    </row>
    <row r="140" spans="1:12" x14ac:dyDescent="0.2">
      <c r="A140" s="49" t="s">
        <v>98</v>
      </c>
      <c r="B140" s="34" t="str">
        <f>PLANILHA!D88</f>
        <v xml:space="preserve">TELA PASSARINHEIRA UNIVERSAL </v>
      </c>
      <c r="C140" s="49" t="s">
        <v>268</v>
      </c>
      <c r="D140" s="50" t="s">
        <v>246</v>
      </c>
      <c r="E140" s="50">
        <v>7</v>
      </c>
      <c r="F140" s="50" t="s">
        <v>246</v>
      </c>
      <c r="G140" s="50" t="s">
        <v>246</v>
      </c>
      <c r="H140" s="50" t="s">
        <v>246</v>
      </c>
      <c r="I140" s="50" t="s">
        <v>246</v>
      </c>
      <c r="J140" s="50" t="s">
        <v>246</v>
      </c>
      <c r="K140" s="50" t="s">
        <v>246</v>
      </c>
      <c r="L140" s="51">
        <f>E140</f>
        <v>7</v>
      </c>
    </row>
    <row r="141" spans="1:12" x14ac:dyDescent="0.2">
      <c r="A141" s="49" t="s">
        <v>174</v>
      </c>
      <c r="B141" s="34" t="str">
        <f>PLANILHA!D89</f>
        <v>TELA MOSQUITEIRO EM NYLON MALHA 14 ABERTURA 1,5MM</v>
      </c>
      <c r="C141" s="49" t="s">
        <v>249</v>
      </c>
      <c r="D141" s="50">
        <v>2</v>
      </c>
      <c r="E141" s="50" t="s">
        <v>246</v>
      </c>
      <c r="F141" s="50">
        <v>0.6</v>
      </c>
      <c r="G141" s="50">
        <v>1</v>
      </c>
      <c r="H141" s="50">
        <f>G141*F141</f>
        <v>0.6</v>
      </c>
      <c r="I141" s="50" t="s">
        <v>246</v>
      </c>
      <c r="J141" s="50" t="s">
        <v>246</v>
      </c>
      <c r="K141" s="50" t="s">
        <v>246</v>
      </c>
      <c r="L141" s="51">
        <f>H141*D141</f>
        <v>1.2</v>
      </c>
    </row>
    <row r="142" spans="1:12" x14ac:dyDescent="0.2">
      <c r="A142" s="49" t="s">
        <v>175</v>
      </c>
      <c r="B142" s="34" t="str">
        <f>PLANILHA!D90</f>
        <v xml:space="preserve">EMASSAMENTO PAREDE MASSA ACRÍLICA - EXTERNO </v>
      </c>
      <c r="C142" s="49" t="s">
        <v>249</v>
      </c>
      <c r="D142" s="50" t="s">
        <v>246</v>
      </c>
      <c r="E142" s="50">
        <v>7</v>
      </c>
      <c r="F142" s="50" t="s">
        <v>246</v>
      </c>
      <c r="G142" s="50">
        <v>1.95</v>
      </c>
      <c r="H142" s="50">
        <f>G142*E142</f>
        <v>13.65</v>
      </c>
      <c r="I142" s="50" t="s">
        <v>246</v>
      </c>
      <c r="J142" s="50" t="s">
        <v>246</v>
      </c>
      <c r="K142" s="50">
        <f>L137+L141</f>
        <v>4.4000000000000004</v>
      </c>
      <c r="L142" s="51">
        <f>H142-K142</f>
        <v>9.25</v>
      </c>
    </row>
    <row r="143" spans="1:12" x14ac:dyDescent="0.2">
      <c r="A143" s="49" t="s">
        <v>220</v>
      </c>
      <c r="B143" s="82" t="str">
        <f>PLANILHA!D91</f>
        <v>PINTURA ESMALTE SINTET TUBUL 2 DEMAOS</v>
      </c>
      <c r="C143" s="81" t="s">
        <v>249</v>
      </c>
      <c r="D143" s="83" t="s">
        <v>246</v>
      </c>
      <c r="E143" s="83" t="s">
        <v>246</v>
      </c>
      <c r="F143" s="83" t="s">
        <v>246</v>
      </c>
      <c r="G143" s="83" t="s">
        <v>246</v>
      </c>
      <c r="H143" s="83">
        <f>SUM(H144:H145)</f>
        <v>1.35</v>
      </c>
      <c r="I143" s="83" t="s">
        <v>246</v>
      </c>
      <c r="J143" s="83" t="s">
        <v>246</v>
      </c>
      <c r="K143" s="83" t="s">
        <v>246</v>
      </c>
      <c r="L143" s="86">
        <f>H143</f>
        <v>1.35</v>
      </c>
    </row>
    <row r="144" spans="1:12" s="87" customFormat="1" ht="11.25" x14ac:dyDescent="0.2">
      <c r="A144" s="88"/>
      <c r="B144" s="89" t="s">
        <v>298</v>
      </c>
      <c r="C144" s="88"/>
      <c r="D144" s="90" t="s">
        <v>246</v>
      </c>
      <c r="E144" s="90">
        <v>6</v>
      </c>
      <c r="F144" s="91">
        <v>3.2000000000000001E-2</v>
      </c>
      <c r="G144" s="90" t="s">
        <v>246</v>
      </c>
      <c r="H144" s="90">
        <f>ROUND(3.14*F144*E144,2)</f>
        <v>0.6</v>
      </c>
      <c r="I144" s="90" t="s">
        <v>246</v>
      </c>
      <c r="J144" s="90" t="s">
        <v>246</v>
      </c>
      <c r="K144" s="90" t="s">
        <v>246</v>
      </c>
      <c r="L144" s="92" t="s">
        <v>246</v>
      </c>
    </row>
    <row r="145" spans="1:12" s="87" customFormat="1" ht="11.25" x14ac:dyDescent="0.2">
      <c r="A145" s="88"/>
      <c r="B145" s="89" t="s">
        <v>299</v>
      </c>
      <c r="C145" s="88"/>
      <c r="D145" s="90" t="s">
        <v>246</v>
      </c>
      <c r="E145" s="90">
        <v>6</v>
      </c>
      <c r="F145" s="90">
        <v>0.04</v>
      </c>
      <c r="G145" s="90" t="s">
        <v>246</v>
      </c>
      <c r="H145" s="90">
        <f>ROUND(3.14*F145*E145,2)</f>
        <v>0.75</v>
      </c>
      <c r="I145" s="90" t="s">
        <v>246</v>
      </c>
      <c r="J145" s="90" t="s">
        <v>246</v>
      </c>
      <c r="K145" s="90" t="s">
        <v>246</v>
      </c>
      <c r="L145" s="92" t="s">
        <v>246</v>
      </c>
    </row>
    <row r="146" spans="1:12" x14ac:dyDescent="0.2">
      <c r="A146" s="49" t="s">
        <v>221</v>
      </c>
      <c r="B146" s="34" t="str">
        <f>PLANILHA!D92</f>
        <v>PINTURA ESMALTE SINTET MADEIRA 2 DEMAOS</v>
      </c>
      <c r="C146" s="49" t="s">
        <v>249</v>
      </c>
      <c r="D146" s="50">
        <v>2</v>
      </c>
      <c r="E146" s="50" t="s">
        <v>246</v>
      </c>
      <c r="F146" s="50">
        <v>1</v>
      </c>
      <c r="G146" s="50">
        <v>1.6</v>
      </c>
      <c r="H146" s="50">
        <f>G146*F146</f>
        <v>1.6</v>
      </c>
      <c r="I146" s="50" t="s">
        <v>246</v>
      </c>
      <c r="J146" s="50" t="s">
        <v>246</v>
      </c>
      <c r="K146" s="50" t="s">
        <v>246</v>
      </c>
      <c r="L146" s="51">
        <f>H146*D146</f>
        <v>3.2</v>
      </c>
    </row>
    <row r="147" spans="1:12" x14ac:dyDescent="0.2">
      <c r="A147" s="49" t="s">
        <v>222</v>
      </c>
      <c r="B147" s="34" t="str">
        <f>PLANILHA!D93</f>
        <v>PINTURA ACRILICA PAREDE/TETO 2 DEMAOS</v>
      </c>
      <c r="C147" s="49" t="s">
        <v>249</v>
      </c>
      <c r="D147" s="50">
        <v>2</v>
      </c>
      <c r="E147" s="50">
        <v>7</v>
      </c>
      <c r="F147" s="50" t="s">
        <v>246</v>
      </c>
      <c r="G147" s="50">
        <v>1.95</v>
      </c>
      <c r="H147" s="50">
        <f>G147*E147</f>
        <v>13.65</v>
      </c>
      <c r="I147" s="50" t="s">
        <v>246</v>
      </c>
      <c r="J147" s="50" t="s">
        <v>246</v>
      </c>
      <c r="K147" s="50">
        <v>4.4000000000000004</v>
      </c>
      <c r="L147" s="51">
        <f>(H147-K147)*D147</f>
        <v>18.5</v>
      </c>
    </row>
    <row r="148" spans="1:12" ht="25.5" x14ac:dyDescent="0.2">
      <c r="A148" s="49" t="s">
        <v>99</v>
      </c>
      <c r="B148" s="75" t="str">
        <f>PLANILHA!D94</f>
        <v>INSTALAÇÕES ELÉTRICAS DA ESTAÇÃO ELEVATÓRIA DE AGUA - TRIFASICA-220V</v>
      </c>
      <c r="C148" s="49" t="s">
        <v>267</v>
      </c>
      <c r="D148" s="50">
        <v>1</v>
      </c>
      <c r="E148" s="50" t="s">
        <v>246</v>
      </c>
      <c r="F148" s="50" t="s">
        <v>246</v>
      </c>
      <c r="G148" s="50" t="s">
        <v>246</v>
      </c>
      <c r="H148" s="50" t="s">
        <v>246</v>
      </c>
      <c r="I148" s="50" t="s">
        <v>246</v>
      </c>
      <c r="J148" s="50" t="s">
        <v>246</v>
      </c>
      <c r="K148" s="50" t="s">
        <v>246</v>
      </c>
      <c r="L148" s="51">
        <f>D148</f>
        <v>1</v>
      </c>
    </row>
    <row r="149" spans="1:12" ht="51" x14ac:dyDescent="0.2">
      <c r="A149" s="49" t="s">
        <v>176</v>
      </c>
      <c r="B149" s="75" t="str">
        <f>PLANILHA!D95</f>
        <v>FORNECIMENTO MONTAGEM E ASSENTAMENTO DE BARRILETE EM PVC 1 1/4" PARA COMPARTIMENTO DE BOMBAS, INCLUSIVE CONJUNTOS MOTO-BOMBA MONOFÁSICOS, POTÊNCIA = 3/4 CV, SUCÇÃO E RECALQUE.</v>
      </c>
      <c r="C149" s="49" t="s">
        <v>267</v>
      </c>
      <c r="D149" s="50">
        <v>1</v>
      </c>
      <c r="E149" s="50" t="s">
        <v>246</v>
      </c>
      <c r="F149" s="50" t="s">
        <v>246</v>
      </c>
      <c r="G149" s="50" t="s">
        <v>246</v>
      </c>
      <c r="H149" s="50" t="s">
        <v>246</v>
      </c>
      <c r="I149" s="50" t="s">
        <v>246</v>
      </c>
      <c r="J149" s="50" t="s">
        <v>246</v>
      </c>
      <c r="K149" s="50" t="s">
        <v>246</v>
      </c>
      <c r="L149" s="51">
        <f>D149</f>
        <v>1</v>
      </c>
    </row>
    <row r="150" spans="1:12" x14ac:dyDescent="0.2">
      <c r="A150" s="49" t="s">
        <v>177</v>
      </c>
      <c r="B150" s="34" t="str">
        <f>PLANILHA!D96</f>
        <v>SUMIDOURO PRE-MOLDADO CAP 10 PESSOAS</v>
      </c>
      <c r="C150" s="49" t="s">
        <v>267</v>
      </c>
      <c r="D150" s="50">
        <v>1</v>
      </c>
      <c r="E150" s="50" t="s">
        <v>246</v>
      </c>
      <c r="F150" s="50" t="s">
        <v>246</v>
      </c>
      <c r="G150" s="50" t="s">
        <v>246</v>
      </c>
      <c r="H150" s="50" t="s">
        <v>246</v>
      </c>
      <c r="I150" s="50" t="s">
        <v>246</v>
      </c>
      <c r="J150" s="50" t="s">
        <v>246</v>
      </c>
      <c r="K150" s="50" t="s">
        <v>246</v>
      </c>
      <c r="L150" s="51">
        <f>D150</f>
        <v>1</v>
      </c>
    </row>
    <row r="151" spans="1:12" ht="8.25" customHeight="1" x14ac:dyDescent="0.2">
      <c r="A151" s="404"/>
      <c r="B151" s="404"/>
      <c r="C151" s="404"/>
      <c r="D151" s="404"/>
      <c r="E151" s="404"/>
      <c r="F151" s="404"/>
      <c r="G151" s="404"/>
      <c r="H151" s="404"/>
      <c r="I151" s="404"/>
      <c r="J151" s="404"/>
      <c r="K151" s="404"/>
      <c r="L151" s="404"/>
    </row>
    <row r="152" spans="1:12" x14ac:dyDescent="0.2">
      <c r="A152" s="54" t="s">
        <v>285</v>
      </c>
      <c r="B152" s="55" t="str">
        <f>PLANILHA!D98</f>
        <v>RESERVATÓRIOS</v>
      </c>
      <c r="C152" s="56"/>
      <c r="D152" s="57"/>
      <c r="E152" s="57"/>
      <c r="F152" s="57"/>
      <c r="G152" s="57"/>
      <c r="H152" s="57"/>
      <c r="I152" s="57"/>
      <c r="J152" s="57"/>
      <c r="K152" s="57"/>
      <c r="L152" s="58"/>
    </row>
    <row r="153" spans="1:12" ht="38.25" x14ac:dyDescent="0.2">
      <c r="A153" s="49" t="s">
        <v>25</v>
      </c>
      <c r="B153" s="75" t="str">
        <f>PLANILHA!D99</f>
        <v>FORNECIMENTO E ASSENTAMENTO DE RESERVATÓRIO CIRCULAR, EM FIBRA DE VIDRO, REFORÇADO, COM CAPACIDADE DE 20M3, INCLUSIVE TRANSPORTE ATÉ A OBRA.</v>
      </c>
      <c r="C153" s="49" t="s">
        <v>267</v>
      </c>
      <c r="D153" s="50">
        <v>3</v>
      </c>
      <c r="E153" s="50" t="s">
        <v>246</v>
      </c>
      <c r="F153" s="50" t="s">
        <v>246</v>
      </c>
      <c r="G153" s="50" t="s">
        <v>246</v>
      </c>
      <c r="H153" s="50" t="s">
        <v>246</v>
      </c>
      <c r="I153" s="50" t="s">
        <v>246</v>
      </c>
      <c r="J153" s="50" t="s">
        <v>246</v>
      </c>
      <c r="K153" s="50" t="s">
        <v>246</v>
      </c>
      <c r="L153" s="51">
        <f>D153</f>
        <v>3</v>
      </c>
    </row>
    <row r="154" spans="1:12" x14ac:dyDescent="0.2">
      <c r="A154" s="63" t="s">
        <v>0</v>
      </c>
      <c r="B154" s="64" t="str">
        <f>PLANILHA!D100</f>
        <v>FORMA CURVA MADEIRA - PILAR/VIGA/PAREDE</v>
      </c>
      <c r="C154" s="63" t="s">
        <v>249</v>
      </c>
      <c r="D154" s="65">
        <v>3</v>
      </c>
      <c r="E154" s="65">
        <f>ROUND(3.14*4.5,2)</f>
        <v>14.13</v>
      </c>
      <c r="F154" s="65" t="s">
        <v>246</v>
      </c>
      <c r="G154" s="65">
        <v>0.15</v>
      </c>
      <c r="H154" s="65">
        <f>G154*D154</f>
        <v>0.44999999999999996</v>
      </c>
      <c r="I154" s="65" t="s">
        <v>246</v>
      </c>
      <c r="J154" s="65" t="s">
        <v>246</v>
      </c>
      <c r="K154" s="65" t="s">
        <v>246</v>
      </c>
      <c r="L154" s="66">
        <f>H154*E154</f>
        <v>6.3584999999999994</v>
      </c>
    </row>
    <row r="155" spans="1:12" x14ac:dyDescent="0.2">
      <c r="A155" s="431" t="s">
        <v>296</v>
      </c>
      <c r="B155" s="432"/>
      <c r="C155" s="432"/>
      <c r="D155" s="432"/>
      <c r="E155" s="432"/>
      <c r="F155" s="432"/>
      <c r="G155" s="432"/>
      <c r="H155" s="432"/>
      <c r="I155" s="432"/>
      <c r="J155" s="432"/>
      <c r="K155" s="432"/>
      <c r="L155" s="433"/>
    </row>
    <row r="156" spans="1:12" ht="51" x14ac:dyDescent="0.2">
      <c r="A156" s="63" t="s">
        <v>14</v>
      </c>
      <c r="B156" s="71" t="str">
        <f>PLANILHA!D101</f>
        <v xml:space="preserve">FORNECIMENTO, PREPARO, TRANSPORTE, LANCAMENTO E ACABAMENTO DE CONCRETO COM RESISTENCIA DE COMPRESSAO FCK =  150 KG/CM2, VIRADO EM OBRA COM BETONEIRA         </v>
      </c>
      <c r="C156" s="63" t="s">
        <v>248</v>
      </c>
      <c r="D156" s="65">
        <v>3</v>
      </c>
      <c r="E156" s="65" t="s">
        <v>246</v>
      </c>
      <c r="F156" s="65">
        <v>4.5</v>
      </c>
      <c r="G156" s="65">
        <v>0.15</v>
      </c>
      <c r="H156" s="65">
        <f>ROUND(3.14*(F156/2)^2,2)</f>
        <v>15.9</v>
      </c>
      <c r="I156" s="65">
        <f>ROUND(H156*G156,2)</f>
        <v>2.39</v>
      </c>
      <c r="J156" s="65" t="s">
        <v>246</v>
      </c>
      <c r="K156" s="65" t="s">
        <v>246</v>
      </c>
      <c r="L156" s="66">
        <f>ROUND(I156*D156,2)</f>
        <v>7.17</v>
      </c>
    </row>
    <row r="157" spans="1:12" x14ac:dyDescent="0.2">
      <c r="A157" s="431" t="s">
        <v>296</v>
      </c>
      <c r="B157" s="432"/>
      <c r="C157" s="432"/>
      <c r="D157" s="432"/>
      <c r="E157" s="432"/>
      <c r="F157" s="432"/>
      <c r="G157" s="432"/>
      <c r="H157" s="432"/>
      <c r="I157" s="432"/>
      <c r="J157" s="432"/>
      <c r="K157" s="432"/>
      <c r="L157" s="433"/>
    </row>
    <row r="158" spans="1:12" x14ac:dyDescent="0.2">
      <c r="A158" s="81" t="s">
        <v>1</v>
      </c>
      <c r="B158" s="82" t="str">
        <f>PLANILHA!D102</f>
        <v>ARMADURA CA-50</v>
      </c>
      <c r="C158" s="81" t="s">
        <v>252</v>
      </c>
      <c r="D158" s="83">
        <v>3</v>
      </c>
      <c r="E158" s="83" t="s">
        <v>295</v>
      </c>
      <c r="F158" s="83" t="s">
        <v>246</v>
      </c>
      <c r="G158" s="83" t="s">
        <v>246</v>
      </c>
      <c r="H158" s="83" t="s">
        <v>246</v>
      </c>
      <c r="I158" s="83" t="s">
        <v>246</v>
      </c>
      <c r="J158" s="84">
        <v>0.245</v>
      </c>
      <c r="K158" s="85">
        <v>-0.3</v>
      </c>
      <c r="L158" s="86">
        <f>ROUND(4.64*46*2*D158*J158*0.7,2)</f>
        <v>219.63</v>
      </c>
    </row>
    <row r="159" spans="1:12" ht="25.5" customHeight="1" x14ac:dyDescent="0.2">
      <c r="A159" s="428" t="s">
        <v>297</v>
      </c>
      <c r="B159" s="429"/>
      <c r="C159" s="429"/>
      <c r="D159" s="429"/>
      <c r="E159" s="429"/>
      <c r="F159" s="429"/>
      <c r="G159" s="429"/>
      <c r="H159" s="429"/>
      <c r="I159" s="429"/>
      <c r="J159" s="429"/>
      <c r="K159" s="429"/>
      <c r="L159" s="430"/>
    </row>
    <row r="160" spans="1:12" x14ac:dyDescent="0.2">
      <c r="A160" s="49" t="s">
        <v>45</v>
      </c>
      <c r="B160" s="34" t="str">
        <f>PLANILHA!D103</f>
        <v>CAIXA P/ PROTEÇÃO DESCARGAS PADRÃO PRÓ-RURAL Nº 97</v>
      </c>
      <c r="C160" s="49" t="s">
        <v>267</v>
      </c>
      <c r="D160" s="50">
        <v>3</v>
      </c>
      <c r="E160" s="50" t="s">
        <v>246</v>
      </c>
      <c r="F160" s="50" t="s">
        <v>246</v>
      </c>
      <c r="G160" s="50" t="s">
        <v>246</v>
      </c>
      <c r="H160" s="50" t="s">
        <v>246</v>
      </c>
      <c r="I160" s="50" t="s">
        <v>246</v>
      </c>
      <c r="J160" s="50" t="s">
        <v>246</v>
      </c>
      <c r="K160" s="50" t="s">
        <v>246</v>
      </c>
      <c r="L160" s="51">
        <f>D160</f>
        <v>3</v>
      </c>
    </row>
    <row r="161" spans="1:12" ht="25.5" x14ac:dyDescent="0.2">
      <c r="A161" s="49" t="s">
        <v>223</v>
      </c>
      <c r="B161" s="75" t="str">
        <f>PLANILHA!D104</f>
        <v>FORNECIMENTO E ASSENTAMENTO DE MATERIAIS PARA RESERVATÓRIOS</v>
      </c>
      <c r="C161" s="49" t="s">
        <v>267</v>
      </c>
      <c r="D161" s="50">
        <v>1</v>
      </c>
      <c r="E161" s="50" t="s">
        <v>246</v>
      </c>
      <c r="F161" s="50" t="s">
        <v>246</v>
      </c>
      <c r="G161" s="50" t="s">
        <v>246</v>
      </c>
      <c r="H161" s="50" t="s">
        <v>246</v>
      </c>
      <c r="I161" s="50" t="s">
        <v>246</v>
      </c>
      <c r="J161" s="50" t="s">
        <v>246</v>
      </c>
      <c r="K161" s="50" t="s">
        <v>246</v>
      </c>
      <c r="L161" s="51">
        <f>D161</f>
        <v>1</v>
      </c>
    </row>
    <row r="162" spans="1:12" ht="38.25" x14ac:dyDescent="0.2">
      <c r="A162" s="49" t="s">
        <v>224</v>
      </c>
      <c r="B162" s="75" t="str">
        <f>PLANILHA!D105</f>
        <v>FORNECIMENTO E ASSENTAMENTO DE RESERVATÓRIO CIRCULAR, EM FIBRA DE VIDRO, REFORÇADO, COM CAPACIDADE DE 10M3, INCLUSIVE TRANSPORTE ATÉ A OBRA.</v>
      </c>
      <c r="C162" s="49" t="s">
        <v>267</v>
      </c>
      <c r="D162" s="50">
        <v>1</v>
      </c>
      <c r="E162" s="50" t="s">
        <v>246</v>
      </c>
      <c r="F162" s="50" t="s">
        <v>246</v>
      </c>
      <c r="G162" s="50" t="s">
        <v>246</v>
      </c>
      <c r="H162" s="50" t="s">
        <v>246</v>
      </c>
      <c r="I162" s="50" t="s">
        <v>246</v>
      </c>
      <c r="J162" s="50" t="s">
        <v>246</v>
      </c>
      <c r="K162" s="50" t="s">
        <v>246</v>
      </c>
      <c r="L162" s="51">
        <f>D162</f>
        <v>1</v>
      </c>
    </row>
    <row r="163" spans="1:12" ht="8.25" customHeight="1" x14ac:dyDescent="0.2">
      <c r="A163" s="404"/>
      <c r="B163" s="404"/>
      <c r="C163" s="404"/>
      <c r="D163" s="404"/>
      <c r="E163" s="404"/>
      <c r="F163" s="404"/>
      <c r="G163" s="404"/>
      <c r="H163" s="404"/>
      <c r="I163" s="404"/>
      <c r="J163" s="404"/>
      <c r="K163" s="404"/>
      <c r="L163" s="404"/>
    </row>
    <row r="164" spans="1:12" x14ac:dyDescent="0.2">
      <c r="A164" s="54" t="s">
        <v>286</v>
      </c>
      <c r="B164" s="55" t="str">
        <f>PLANILHA!D107</f>
        <v>REDE DE DISTRIBUIÇÃO</v>
      </c>
      <c r="C164" s="56"/>
      <c r="D164" s="57"/>
      <c r="E164" s="57"/>
      <c r="F164" s="57"/>
      <c r="G164" s="57"/>
      <c r="H164" s="57"/>
      <c r="I164" s="57"/>
      <c r="J164" s="57"/>
      <c r="K164" s="57"/>
      <c r="L164" s="58"/>
    </row>
    <row r="165" spans="1:12" x14ac:dyDescent="0.2">
      <c r="A165" s="49" t="s">
        <v>2</v>
      </c>
      <c r="B165" s="34" t="str">
        <f>PLANILHA!D108</f>
        <v>SINALIZACAO NOTURNA COM ENERGIA ELETRICA</v>
      </c>
      <c r="C165" s="49" t="s">
        <v>267</v>
      </c>
      <c r="D165" s="50">
        <v>1</v>
      </c>
      <c r="E165" s="50" t="s">
        <v>246</v>
      </c>
      <c r="F165" s="50" t="s">
        <v>246</v>
      </c>
      <c r="G165" s="50" t="s">
        <v>246</v>
      </c>
      <c r="H165" s="50" t="s">
        <v>246</v>
      </c>
      <c r="I165" s="50" t="s">
        <v>246</v>
      </c>
      <c r="J165" s="50" t="s">
        <v>246</v>
      </c>
      <c r="K165" s="50" t="s">
        <v>246</v>
      </c>
      <c r="L165" s="51">
        <f>D165</f>
        <v>1</v>
      </c>
    </row>
    <row r="166" spans="1:12" x14ac:dyDescent="0.2">
      <c r="A166" s="49" t="s">
        <v>225</v>
      </c>
      <c r="B166" s="34" t="str">
        <f>PLANILHA!D109</f>
        <v xml:space="preserve">ESCAVACAO MECAN SOLO 1ªCAT PROF ATE 3M       </v>
      </c>
      <c r="C166" s="49" t="s">
        <v>248</v>
      </c>
      <c r="D166" s="50"/>
      <c r="E166" s="50">
        <v>256</v>
      </c>
      <c r="F166" s="50" t="s">
        <v>246</v>
      </c>
      <c r="G166" s="50" t="s">
        <v>246</v>
      </c>
      <c r="H166" s="50">
        <v>0.48</v>
      </c>
      <c r="I166" s="50">
        <f>E166*H166</f>
        <v>122.88</v>
      </c>
      <c r="J166" s="50" t="s">
        <v>246</v>
      </c>
      <c r="K166" s="50" t="s">
        <v>246</v>
      </c>
      <c r="L166" s="51">
        <f>I166</f>
        <v>122.88</v>
      </c>
    </row>
    <row r="167" spans="1:12" x14ac:dyDescent="0.2">
      <c r="A167" s="63" t="s">
        <v>226</v>
      </c>
      <c r="B167" s="64" t="str">
        <f>PLANILHA!D110</f>
        <v>REGULARIZACAO DO FUNDO VALA</v>
      </c>
      <c r="C167" s="63"/>
      <c r="D167" s="65"/>
      <c r="E167" s="65">
        <v>256</v>
      </c>
      <c r="F167" s="65" t="s">
        <v>246</v>
      </c>
      <c r="G167" s="65" t="s">
        <v>246</v>
      </c>
      <c r="H167" s="65">
        <v>0.16</v>
      </c>
      <c r="I167" s="65">
        <f>ROUND(H167*E167,2)</f>
        <v>40.96</v>
      </c>
      <c r="J167" s="65" t="s">
        <v>246</v>
      </c>
      <c r="K167" s="65" t="s">
        <v>246</v>
      </c>
      <c r="L167" s="66">
        <f>I167</f>
        <v>40.96</v>
      </c>
    </row>
    <row r="168" spans="1:12" x14ac:dyDescent="0.2">
      <c r="A168" s="63" t="s">
        <v>31</v>
      </c>
      <c r="B168" s="64" t="str">
        <f>PLANILHA!D111</f>
        <v>REATERRO COM APILOAMENTO MANUAL</v>
      </c>
      <c r="C168" s="63" t="s">
        <v>248</v>
      </c>
      <c r="D168" s="65"/>
      <c r="E168" s="65">
        <v>256</v>
      </c>
      <c r="F168" s="65" t="s">
        <v>246</v>
      </c>
      <c r="G168" s="65" t="s">
        <v>246</v>
      </c>
      <c r="H168" s="65">
        <v>0.48</v>
      </c>
      <c r="I168" s="65">
        <f>E168*H168</f>
        <v>122.88</v>
      </c>
      <c r="J168" s="65" t="s">
        <v>246</v>
      </c>
      <c r="K168" s="65" t="s">
        <v>246</v>
      </c>
      <c r="L168" s="66">
        <f>I168</f>
        <v>122.88</v>
      </c>
    </row>
    <row r="169" spans="1:12" x14ac:dyDescent="0.2">
      <c r="A169" s="63" t="s">
        <v>227</v>
      </c>
      <c r="B169" s="64" t="str">
        <f>PLANILHA!D112</f>
        <v>REATERRO COM COMPACTACAO MECANICA</v>
      </c>
      <c r="C169" s="63"/>
      <c r="D169" s="65"/>
      <c r="E169" s="65">
        <v>256</v>
      </c>
      <c r="F169" s="65" t="s">
        <v>246</v>
      </c>
      <c r="G169" s="65" t="s">
        <v>246</v>
      </c>
      <c r="H169" s="65">
        <v>0.32</v>
      </c>
      <c r="I169" s="65">
        <f>ROUND(E169*H169,2)</f>
        <v>81.92</v>
      </c>
      <c r="J169" s="65" t="s">
        <v>246</v>
      </c>
      <c r="K169" s="65" t="s">
        <v>246</v>
      </c>
      <c r="L169" s="66">
        <f>I169</f>
        <v>81.92</v>
      </c>
    </row>
    <row r="170" spans="1:12" ht="25.5" x14ac:dyDescent="0.2">
      <c r="A170" s="49" t="s">
        <v>32</v>
      </c>
      <c r="B170" s="75" t="str">
        <f>PLANILHA!D113</f>
        <v>TUBO PVC PBA JEI, CLASSE 12, DN 50 MM, PARA REDE DE AGUA (NBR 5647)</v>
      </c>
      <c r="C170" s="49" t="s">
        <v>268</v>
      </c>
      <c r="D170" s="50"/>
      <c r="E170" s="50">
        <v>16.5</v>
      </c>
      <c r="F170" s="50" t="s">
        <v>246</v>
      </c>
      <c r="G170" s="50" t="s">
        <v>246</v>
      </c>
      <c r="H170" s="50" t="s">
        <v>246</v>
      </c>
      <c r="I170" s="50" t="s">
        <v>246</v>
      </c>
      <c r="J170" s="50" t="s">
        <v>246</v>
      </c>
      <c r="K170" s="50" t="s">
        <v>246</v>
      </c>
      <c r="L170" s="51">
        <f>E170</f>
        <v>16.5</v>
      </c>
    </row>
    <row r="171" spans="1:12" x14ac:dyDescent="0.2">
      <c r="A171" s="49" t="s">
        <v>33</v>
      </c>
      <c r="B171" s="75" t="str">
        <f>PLANILHA!D114</f>
        <v>ASSENTAMENTO TUBO PVC PBA DN 50</v>
      </c>
      <c r="C171" s="49" t="s">
        <v>268</v>
      </c>
      <c r="D171" s="50"/>
      <c r="E171" s="50">
        <v>16.5</v>
      </c>
      <c r="F171" s="50" t="s">
        <v>246</v>
      </c>
      <c r="G171" s="50" t="s">
        <v>246</v>
      </c>
      <c r="H171" s="50" t="s">
        <v>246</v>
      </c>
      <c r="I171" s="50" t="s">
        <v>246</v>
      </c>
      <c r="J171" s="50" t="s">
        <v>246</v>
      </c>
      <c r="K171" s="50" t="s">
        <v>246</v>
      </c>
      <c r="L171" s="51">
        <f>E171</f>
        <v>16.5</v>
      </c>
    </row>
    <row r="172" spans="1:12" x14ac:dyDescent="0.2">
      <c r="A172" s="49" t="s">
        <v>34</v>
      </c>
      <c r="B172" s="75" t="str">
        <f>PLANILHA!D115</f>
        <v>TUBO PVC, SOLDAVEL, DN 40 MM, AGUA FRIA (NBR-5648)   9,26</v>
      </c>
      <c r="C172" s="49" t="s">
        <v>268</v>
      </c>
      <c r="D172" s="50"/>
      <c r="E172" s="50">
        <v>256</v>
      </c>
      <c r="F172" s="50" t="s">
        <v>246</v>
      </c>
      <c r="G172" s="50" t="s">
        <v>246</v>
      </c>
      <c r="H172" s="50" t="s">
        <v>246</v>
      </c>
      <c r="I172" s="50" t="s">
        <v>246</v>
      </c>
      <c r="J172" s="50" t="s">
        <v>246</v>
      </c>
      <c r="K172" s="50" t="s">
        <v>246</v>
      </c>
      <c r="L172" s="51">
        <f>E172</f>
        <v>256</v>
      </c>
    </row>
    <row r="173" spans="1:12" x14ac:dyDescent="0.2">
      <c r="A173" s="49" t="s">
        <v>35</v>
      </c>
      <c r="B173" s="75" t="str">
        <f>PLANILHA!D116</f>
        <v>ASSENTAMENTO TUBO PVC SOLDA D 40</v>
      </c>
      <c r="C173" s="49" t="s">
        <v>268</v>
      </c>
      <c r="D173" s="50"/>
      <c r="E173" s="50">
        <v>256</v>
      </c>
      <c r="F173" s="50" t="s">
        <v>246</v>
      </c>
      <c r="G173" s="50" t="s">
        <v>246</v>
      </c>
      <c r="H173" s="50" t="s">
        <v>246</v>
      </c>
      <c r="I173" s="50" t="s">
        <v>246</v>
      </c>
      <c r="J173" s="50" t="s">
        <v>246</v>
      </c>
      <c r="K173" s="50" t="s">
        <v>246</v>
      </c>
      <c r="L173" s="51">
        <f>E173</f>
        <v>256</v>
      </c>
    </row>
    <row r="174" spans="1:12" ht="51" x14ac:dyDescent="0.2">
      <c r="A174" s="49" t="s">
        <v>36</v>
      </c>
      <c r="B174" s="75" t="str">
        <f>PLANILHA!D117</f>
        <v xml:space="preserve">PONTO DE VÁLVULA DE DESCARGA, INCLUSIVE VÁLVULA DE DESCARGA DE 50MM (1 1/2"), COM ACABAMENTO PARA VÁLVULA DE DESCARGA BENEFIT, MARCA DE REFERÊNCIA DOCOL OU EQUIVALENTE </v>
      </c>
      <c r="C174" s="49" t="s">
        <v>267</v>
      </c>
      <c r="D174" s="50">
        <v>4</v>
      </c>
      <c r="E174" s="50" t="s">
        <v>246</v>
      </c>
      <c r="F174" s="50" t="s">
        <v>246</v>
      </c>
      <c r="G174" s="50" t="s">
        <v>246</v>
      </c>
      <c r="H174" s="50" t="s">
        <v>246</v>
      </c>
      <c r="I174" s="50" t="s">
        <v>246</v>
      </c>
      <c r="J174" s="50" t="s">
        <v>246</v>
      </c>
      <c r="K174" s="50" t="s">
        <v>246</v>
      </c>
      <c r="L174" s="51">
        <f>D174</f>
        <v>4</v>
      </c>
    </row>
    <row r="175" spans="1:12" ht="25.5" x14ac:dyDescent="0.2">
      <c r="A175" s="49" t="s">
        <v>228</v>
      </c>
      <c r="B175" s="75" t="str">
        <f>PLANILHA!D118</f>
        <v>FORNECIMENTO E ASSENTAMENTO DE MATERIAIS PARA REDE DE DISTRIBUIÇÃO</v>
      </c>
      <c r="C175" s="49" t="s">
        <v>267</v>
      </c>
      <c r="D175" s="50">
        <v>1</v>
      </c>
      <c r="E175" s="50" t="s">
        <v>246</v>
      </c>
      <c r="F175" s="50" t="s">
        <v>246</v>
      </c>
      <c r="G175" s="50" t="s">
        <v>246</v>
      </c>
      <c r="H175" s="50" t="s">
        <v>246</v>
      </c>
      <c r="I175" s="50" t="s">
        <v>246</v>
      </c>
      <c r="J175" s="50" t="s">
        <v>246</v>
      </c>
      <c r="K175" s="50" t="s">
        <v>246</v>
      </c>
      <c r="L175" s="51">
        <f>D175</f>
        <v>1</v>
      </c>
    </row>
    <row r="176" spans="1:12" x14ac:dyDescent="0.2">
      <c r="A176" s="63" t="s">
        <v>229</v>
      </c>
      <c r="B176" s="71" t="str">
        <f>PLANILHA!D119</f>
        <v>FORNECIMENTO E EXECUÇÃO DE VRP</v>
      </c>
      <c r="C176" s="63" t="s">
        <v>267</v>
      </c>
      <c r="D176" s="65">
        <v>2</v>
      </c>
      <c r="E176" s="65" t="s">
        <v>246</v>
      </c>
      <c r="F176" s="65" t="s">
        <v>246</v>
      </c>
      <c r="G176" s="65" t="s">
        <v>246</v>
      </c>
      <c r="H176" s="65" t="s">
        <v>246</v>
      </c>
      <c r="I176" s="65" t="s">
        <v>246</v>
      </c>
      <c r="J176" s="65" t="s">
        <v>246</v>
      </c>
      <c r="K176" s="65" t="s">
        <v>246</v>
      </c>
      <c r="L176" s="66">
        <f>D176</f>
        <v>2</v>
      </c>
    </row>
    <row r="177" spans="1:12" x14ac:dyDescent="0.2">
      <c r="A177" s="63" t="s">
        <v>37</v>
      </c>
      <c r="B177" s="71" t="str">
        <f>PLANILHA!D120</f>
        <v>FORNECIMENTO E EXECUÇÃO DE VENTOSA</v>
      </c>
      <c r="C177" s="63" t="s">
        <v>267</v>
      </c>
      <c r="D177" s="65">
        <v>3</v>
      </c>
      <c r="E177" s="65" t="s">
        <v>246</v>
      </c>
      <c r="F177" s="65" t="s">
        <v>246</v>
      </c>
      <c r="G177" s="65" t="s">
        <v>246</v>
      </c>
      <c r="H177" s="65" t="s">
        <v>246</v>
      </c>
      <c r="I177" s="65" t="s">
        <v>246</v>
      </c>
      <c r="J177" s="65" t="s">
        <v>246</v>
      </c>
      <c r="K177" s="65" t="s">
        <v>246</v>
      </c>
      <c r="L177" s="66">
        <f>D177</f>
        <v>3</v>
      </c>
    </row>
    <row r="178" spans="1:12" x14ac:dyDescent="0.2">
      <c r="A178" s="94"/>
      <c r="B178" s="95"/>
      <c r="C178" s="94"/>
      <c r="D178" s="96"/>
      <c r="E178" s="96"/>
      <c r="F178" s="96"/>
      <c r="G178" s="96"/>
      <c r="H178" s="96"/>
      <c r="I178" s="96"/>
      <c r="J178" s="96"/>
      <c r="K178" s="96"/>
      <c r="L178" s="97"/>
    </row>
    <row r="179" spans="1:12" x14ac:dyDescent="0.2">
      <c r="A179" s="94"/>
      <c r="B179" s="95"/>
      <c r="C179" s="94"/>
      <c r="D179" s="96"/>
      <c r="E179" s="96"/>
      <c r="F179" s="96"/>
      <c r="G179" s="96"/>
      <c r="H179" s="96"/>
      <c r="I179" s="96"/>
      <c r="J179" s="96"/>
      <c r="K179" s="96"/>
      <c r="L179" s="97"/>
    </row>
    <row r="180" spans="1:12" x14ac:dyDescent="0.2">
      <c r="A180" s="94"/>
      <c r="B180" s="95"/>
      <c r="C180" s="94"/>
      <c r="D180" s="96"/>
      <c r="E180" s="96"/>
      <c r="F180" s="96"/>
      <c r="G180" s="96"/>
      <c r="H180" s="96"/>
      <c r="I180" s="96"/>
      <c r="J180" s="96"/>
      <c r="K180" s="96"/>
      <c r="L180" s="97"/>
    </row>
    <row r="181" spans="1:12" x14ac:dyDescent="0.2">
      <c r="A181" s="94"/>
      <c r="B181" s="95"/>
      <c r="C181" s="95"/>
      <c r="D181" s="96"/>
      <c r="E181" s="96"/>
      <c r="F181" s="96"/>
      <c r="G181" s="96"/>
      <c r="H181" s="96"/>
      <c r="I181" s="96"/>
      <c r="J181" s="96"/>
      <c r="K181" s="96"/>
      <c r="L181" s="97"/>
    </row>
    <row r="182" spans="1:12" x14ac:dyDescent="0.2">
      <c r="A182" s="94"/>
      <c r="B182" s="434"/>
      <c r="C182" s="434"/>
      <c r="D182" s="96"/>
      <c r="E182" s="96"/>
      <c r="F182" s="96"/>
      <c r="G182" s="96"/>
      <c r="H182" s="96"/>
      <c r="I182" s="96"/>
      <c r="J182" s="96"/>
      <c r="K182" s="96"/>
      <c r="L182" s="97"/>
    </row>
    <row r="183" spans="1:12" x14ac:dyDescent="0.2">
      <c r="A183" s="94"/>
      <c r="B183" s="435"/>
      <c r="C183" s="435"/>
      <c r="D183" s="96"/>
      <c r="E183" s="96"/>
      <c r="F183" s="96"/>
      <c r="G183" s="96"/>
      <c r="H183" s="96"/>
      <c r="I183" s="96"/>
      <c r="J183" s="96"/>
      <c r="K183" s="96"/>
      <c r="L183" s="97"/>
    </row>
    <row r="184" spans="1:12" x14ac:dyDescent="0.2">
      <c r="A184" s="94"/>
      <c r="B184" s="436"/>
      <c r="C184" s="436"/>
      <c r="D184" s="96"/>
      <c r="E184" s="96"/>
      <c r="F184" s="96"/>
      <c r="G184" s="96"/>
      <c r="H184" s="96"/>
      <c r="I184" s="96"/>
      <c r="J184" s="96"/>
      <c r="K184" s="96"/>
      <c r="L184" s="97"/>
    </row>
    <row r="185" spans="1:12" x14ac:dyDescent="0.2">
      <c r="A185" s="94"/>
      <c r="B185" s="427"/>
      <c r="C185" s="427"/>
      <c r="D185" s="96"/>
      <c r="E185" s="96"/>
      <c r="F185" s="96"/>
      <c r="G185" s="96"/>
      <c r="H185" s="96"/>
      <c r="I185" s="96"/>
      <c r="J185" s="96"/>
      <c r="K185" s="96"/>
      <c r="L185" s="97"/>
    </row>
    <row r="186" spans="1:12" x14ac:dyDescent="0.2">
      <c r="A186" s="94"/>
      <c r="B186" s="95"/>
      <c r="C186" s="94"/>
      <c r="D186" s="96"/>
      <c r="E186" s="96"/>
      <c r="F186" s="96"/>
      <c r="G186" s="96"/>
      <c r="H186" s="96"/>
      <c r="I186" s="96"/>
      <c r="J186" s="96"/>
      <c r="K186" s="96"/>
      <c r="L186" s="97"/>
    </row>
    <row r="187" spans="1:12" x14ac:dyDescent="0.2">
      <c r="A187" s="94"/>
      <c r="B187" s="95"/>
      <c r="C187" s="94"/>
      <c r="D187" s="96"/>
      <c r="E187" s="96"/>
      <c r="F187" s="96"/>
      <c r="G187" s="96"/>
      <c r="H187" s="96"/>
      <c r="I187" s="96"/>
      <c r="J187" s="96"/>
      <c r="K187" s="96"/>
      <c r="L187" s="97"/>
    </row>
  </sheetData>
  <mergeCells count="36">
    <mergeCell ref="B185:C185"/>
    <mergeCell ref="A159:L159"/>
    <mergeCell ref="A157:L157"/>
    <mergeCell ref="A155:L155"/>
    <mergeCell ref="B182:C182"/>
    <mergeCell ref="B183:C183"/>
    <mergeCell ref="B184:C184"/>
    <mergeCell ref="A14:L14"/>
    <mergeCell ref="A18:L18"/>
    <mergeCell ref="A52:L52"/>
    <mergeCell ref="A1:E1"/>
    <mergeCell ref="F1:L3"/>
    <mergeCell ref="A2:E2"/>
    <mergeCell ref="A3:E3"/>
    <mergeCell ref="A42:L42"/>
    <mergeCell ref="A39:L39"/>
    <mergeCell ref="A29:L29"/>
    <mergeCell ref="A121:L121"/>
    <mergeCell ref="A131:L131"/>
    <mergeCell ref="A135:L135"/>
    <mergeCell ref="A27:L27"/>
    <mergeCell ref="A82:L82"/>
    <mergeCell ref="A93:L93"/>
    <mergeCell ref="A104:L104"/>
    <mergeCell ref="A109:L109"/>
    <mergeCell ref="A77:L77"/>
    <mergeCell ref="A151:L151"/>
    <mergeCell ref="A163:L163"/>
    <mergeCell ref="A22:L22"/>
    <mergeCell ref="A8:L8"/>
    <mergeCell ref="D43:K43"/>
    <mergeCell ref="D30:K30"/>
    <mergeCell ref="D19:K19"/>
    <mergeCell ref="D15:K15"/>
    <mergeCell ref="D11:K11"/>
    <mergeCell ref="E125:K125"/>
  </mergeCells>
  <pageMargins left="0.511811024" right="0.511811024" top="0.78740157499999996" bottom="0.78740157499999996" header="0.31496062000000002" footer="0.31496062000000002"/>
  <pageSetup paperSize="9" scale="76" fitToHeight="0" orientation="landscape" r:id="rId1"/>
  <rowBreaks count="3" manualBreakCount="3">
    <brk id="51" max="11" man="1"/>
    <brk id="97" max="11" man="1"/>
    <brk id="163" max="11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showGridLines="0" view="pageBreakPreview" zoomScale="90" zoomScaleNormal="80" zoomScaleSheetLayoutView="90" workbookViewId="0">
      <selection activeCell="F11" sqref="F11"/>
    </sheetView>
  </sheetViews>
  <sheetFormatPr defaultRowHeight="12.75" x14ac:dyDescent="0.2"/>
  <cols>
    <col min="1" max="1" width="13.28515625" style="328" customWidth="1"/>
    <col min="2" max="2" width="52.28515625" style="328" customWidth="1"/>
    <col min="3" max="3" width="13" style="328" customWidth="1"/>
    <col min="4" max="4" width="8.85546875" style="328" customWidth="1"/>
    <col min="5" max="5" width="10.85546875" style="328" customWidth="1"/>
    <col min="6" max="6" width="12.28515625" style="328" customWidth="1"/>
    <col min="7" max="7" width="9.140625" style="328"/>
    <col min="8" max="8" width="111.85546875" style="328" customWidth="1"/>
    <col min="9" max="16384" width="9.140625" style="328"/>
  </cols>
  <sheetData>
    <row r="1" spans="1:8" ht="29.25" customHeight="1" x14ac:dyDescent="0.2">
      <c r="A1" s="461" t="s">
        <v>735</v>
      </c>
      <c r="B1" s="461"/>
      <c r="C1" s="461"/>
      <c r="D1" s="461"/>
      <c r="E1" s="461"/>
    </row>
    <row r="2" spans="1:8" s="329" customFormat="1" ht="50.25" customHeight="1" x14ac:dyDescent="0.2">
      <c r="A2" s="147" t="s">
        <v>759</v>
      </c>
      <c r="B2" s="448" t="s">
        <v>760</v>
      </c>
      <c r="C2" s="448"/>
      <c r="D2" s="448"/>
      <c r="E2" s="448"/>
      <c r="F2" s="448"/>
    </row>
    <row r="3" spans="1:8" s="329" customFormat="1" ht="18.75" customHeight="1" x14ac:dyDescent="0.2">
      <c r="A3" s="159"/>
      <c r="B3" s="330"/>
      <c r="C3" s="159"/>
      <c r="E3" s="159"/>
    </row>
    <row r="4" spans="1:8" s="329" customFormat="1" ht="15.75" customHeight="1" x14ac:dyDescent="0.2">
      <c r="A4" s="147" t="s">
        <v>306</v>
      </c>
      <c r="B4" s="148" t="s">
        <v>307</v>
      </c>
      <c r="C4" s="148" t="s">
        <v>308</v>
      </c>
      <c r="D4" s="148" t="s">
        <v>309</v>
      </c>
      <c r="E4" s="148" t="s">
        <v>310</v>
      </c>
      <c r="F4" s="148" t="s">
        <v>311</v>
      </c>
    </row>
    <row r="5" spans="1:8" s="329" customFormat="1" ht="30" x14ac:dyDescent="0.2">
      <c r="A5" s="213" t="s">
        <v>158</v>
      </c>
      <c r="B5" s="211" t="s">
        <v>761</v>
      </c>
      <c r="C5" s="213" t="s">
        <v>331</v>
      </c>
      <c r="D5" s="215">
        <v>1</v>
      </c>
      <c r="E5" s="286">
        <v>2699</v>
      </c>
      <c r="F5" s="286">
        <f>D5*E5</f>
        <v>2699</v>
      </c>
      <c r="H5" s="329" t="s">
        <v>739</v>
      </c>
    </row>
    <row r="6" spans="1:8" s="329" customFormat="1" ht="36.75" customHeight="1" x14ac:dyDescent="0.2">
      <c r="A6" s="163" t="s">
        <v>740</v>
      </c>
      <c r="B6" s="211" t="s">
        <v>143</v>
      </c>
      <c r="C6" s="213" t="s">
        <v>27</v>
      </c>
      <c r="D6" s="215">
        <v>5</v>
      </c>
      <c r="E6" s="286">
        <f>ROUND(11.56*1.2619,2)</f>
        <v>14.59</v>
      </c>
      <c r="F6" s="331">
        <f t="shared" ref="F6:F17" si="0">D6*E6</f>
        <v>72.95</v>
      </c>
    </row>
    <row r="7" spans="1:8" s="329" customFormat="1" ht="30" customHeight="1" x14ac:dyDescent="0.2">
      <c r="A7" s="163" t="s">
        <v>741</v>
      </c>
      <c r="B7" s="211" t="s">
        <v>742</v>
      </c>
      <c r="C7" s="213" t="s">
        <v>27</v>
      </c>
      <c r="D7" s="215">
        <v>1</v>
      </c>
      <c r="E7" s="286">
        <f>ROUND(33.89*1.2619,2)</f>
        <v>42.77</v>
      </c>
      <c r="F7" s="331">
        <f t="shared" si="0"/>
        <v>42.77</v>
      </c>
    </row>
    <row r="8" spans="1:8" s="329" customFormat="1" ht="30" x14ac:dyDescent="0.2">
      <c r="A8" s="163" t="s">
        <v>639</v>
      </c>
      <c r="B8" s="211" t="s">
        <v>650</v>
      </c>
      <c r="C8" s="213" t="s">
        <v>27</v>
      </c>
      <c r="D8" s="215">
        <v>4</v>
      </c>
      <c r="E8" s="286">
        <f>ROUND(53.38*1.2619,2)</f>
        <v>67.36</v>
      </c>
      <c r="F8" s="331">
        <f t="shared" si="0"/>
        <v>269.44</v>
      </c>
    </row>
    <row r="9" spans="1:8" s="329" customFormat="1" ht="34.5" customHeight="1" x14ac:dyDescent="0.2">
      <c r="A9" s="163" t="s">
        <v>743</v>
      </c>
      <c r="B9" s="184" t="s">
        <v>744</v>
      </c>
      <c r="C9" s="213" t="s">
        <v>331</v>
      </c>
      <c r="D9" s="256">
        <v>1</v>
      </c>
      <c r="E9" s="286">
        <f>ROUND(11.04*1.2619,2)</f>
        <v>13.93</v>
      </c>
      <c r="F9" s="331">
        <f t="shared" si="0"/>
        <v>13.93</v>
      </c>
    </row>
    <row r="10" spans="1:8" s="329" customFormat="1" ht="30" x14ac:dyDescent="0.2">
      <c r="A10" s="163" t="s">
        <v>745</v>
      </c>
      <c r="B10" s="211" t="s">
        <v>746</v>
      </c>
      <c r="C10" s="213" t="s">
        <v>331</v>
      </c>
      <c r="D10" s="215">
        <v>2</v>
      </c>
      <c r="E10" s="286">
        <f>ROUND(32.69*1.2619,2)</f>
        <v>41.25</v>
      </c>
      <c r="F10" s="331">
        <f t="shared" si="0"/>
        <v>82.5</v>
      </c>
    </row>
    <row r="11" spans="1:8" s="329" customFormat="1" ht="30" x14ac:dyDescent="0.2">
      <c r="A11" s="163" t="s">
        <v>747</v>
      </c>
      <c r="B11" s="211" t="s">
        <v>476</v>
      </c>
      <c r="C11" s="213" t="s">
        <v>331</v>
      </c>
      <c r="D11" s="215">
        <v>2</v>
      </c>
      <c r="E11" s="286">
        <f>ROUND(33.6*1.2619,2)</f>
        <v>42.4</v>
      </c>
      <c r="F11" s="331">
        <f t="shared" si="0"/>
        <v>84.8</v>
      </c>
    </row>
    <row r="12" spans="1:8" s="329" customFormat="1" ht="45" x14ac:dyDescent="0.2">
      <c r="A12" s="163" t="s">
        <v>748</v>
      </c>
      <c r="B12" s="211" t="s">
        <v>749</v>
      </c>
      <c r="C12" s="213" t="s">
        <v>331</v>
      </c>
      <c r="D12" s="215">
        <v>2</v>
      </c>
      <c r="E12" s="286">
        <f>ROUND(25.79*1.2619,2)</f>
        <v>32.54</v>
      </c>
      <c r="F12" s="331">
        <f t="shared" si="0"/>
        <v>65.08</v>
      </c>
    </row>
    <row r="13" spans="1:8" s="329" customFormat="1" ht="30" x14ac:dyDescent="0.2">
      <c r="A13" s="163" t="s">
        <v>724</v>
      </c>
      <c r="B13" s="224" t="s">
        <v>725</v>
      </c>
      <c r="C13" s="213" t="s">
        <v>331</v>
      </c>
      <c r="D13" s="256">
        <v>2</v>
      </c>
      <c r="E13" s="286">
        <f>ROUND(17.33*1.2619,2)</f>
        <v>21.87</v>
      </c>
      <c r="F13" s="331">
        <f t="shared" si="0"/>
        <v>43.74</v>
      </c>
    </row>
    <row r="14" spans="1:8" s="329" customFormat="1" ht="30" x14ac:dyDescent="0.2">
      <c r="A14" s="163" t="s">
        <v>640</v>
      </c>
      <c r="B14" s="164" t="s">
        <v>641</v>
      </c>
      <c r="C14" s="182" t="s">
        <v>331</v>
      </c>
      <c r="D14" s="183">
        <v>1</v>
      </c>
      <c r="E14" s="286">
        <f>ROUND(144*1.2619,2)</f>
        <v>181.71</v>
      </c>
      <c r="F14" s="331">
        <f t="shared" si="0"/>
        <v>181.71</v>
      </c>
    </row>
    <row r="15" spans="1:8" s="329" customFormat="1" ht="30" x14ac:dyDescent="0.2">
      <c r="A15" s="163" t="s">
        <v>404</v>
      </c>
      <c r="B15" s="164" t="s">
        <v>405</v>
      </c>
      <c r="C15" s="182" t="s">
        <v>331</v>
      </c>
      <c r="D15" s="183">
        <v>2</v>
      </c>
      <c r="E15" s="286">
        <f>ROUND(80.88*1.2619,2)</f>
        <v>102.06</v>
      </c>
      <c r="F15" s="331">
        <f t="shared" si="0"/>
        <v>204.12</v>
      </c>
    </row>
    <row r="16" spans="1:8" s="329" customFormat="1" ht="30" x14ac:dyDescent="0.2">
      <c r="A16" s="287" t="s">
        <v>415</v>
      </c>
      <c r="B16" s="142" t="s">
        <v>416</v>
      </c>
      <c r="C16" s="182" t="s">
        <v>348</v>
      </c>
      <c r="D16" s="215">
        <v>4</v>
      </c>
      <c r="E16" s="286">
        <f>ROUND(10.23*1.2619,2)</f>
        <v>12.91</v>
      </c>
      <c r="F16" s="331">
        <f t="shared" si="0"/>
        <v>51.64</v>
      </c>
    </row>
    <row r="17" spans="1:6" s="329" customFormat="1" ht="15" x14ac:dyDescent="0.2">
      <c r="A17" s="287" t="s">
        <v>693</v>
      </c>
      <c r="B17" s="157" t="s">
        <v>571</v>
      </c>
      <c r="C17" s="182" t="s">
        <v>348</v>
      </c>
      <c r="D17" s="215">
        <v>1</v>
      </c>
      <c r="E17" s="286">
        <v>5.34</v>
      </c>
      <c r="F17" s="331">
        <f t="shared" si="0"/>
        <v>5.34</v>
      </c>
    </row>
    <row r="18" spans="1:6" s="329" customFormat="1" ht="33" customHeight="1" x14ac:dyDescent="0.2">
      <c r="A18" s="287" t="s">
        <v>695</v>
      </c>
      <c r="B18" s="142" t="s">
        <v>696</v>
      </c>
      <c r="C18" s="213" t="s">
        <v>348</v>
      </c>
      <c r="D18" s="215">
        <v>4</v>
      </c>
      <c r="E18" s="286">
        <f>ROUND((10.71/1.309)*1.2619,2)</f>
        <v>10.32</v>
      </c>
      <c r="F18" s="331">
        <f>D18*E18</f>
        <v>41.28</v>
      </c>
    </row>
    <row r="19" spans="1:6" s="329" customFormat="1" ht="24.75" customHeight="1" x14ac:dyDescent="0.2">
      <c r="E19" s="166" t="s">
        <v>311</v>
      </c>
      <c r="F19" s="166">
        <f>SUM(F5:F18)</f>
        <v>3858.2999999999997</v>
      </c>
    </row>
    <row r="20" spans="1:6" ht="24.75" customHeight="1" x14ac:dyDescent="0.2"/>
    <row r="21" spans="1:6" ht="24.75" customHeight="1" x14ac:dyDescent="0.2"/>
    <row r="22" spans="1:6" ht="24.75" customHeight="1" x14ac:dyDescent="0.2"/>
    <row r="23" spans="1:6" ht="24.75" customHeight="1" x14ac:dyDescent="0.2"/>
    <row r="24" spans="1:6" ht="24.75" customHeight="1" x14ac:dyDescent="0.2"/>
    <row r="25" spans="1:6" ht="24.75" customHeight="1" x14ac:dyDescent="0.2"/>
    <row r="26" spans="1:6" ht="24.75" customHeight="1" x14ac:dyDescent="0.2"/>
    <row r="27" spans="1:6" ht="24.75" customHeight="1" x14ac:dyDescent="0.2"/>
    <row r="28" spans="1:6" ht="24.75" customHeight="1" x14ac:dyDescent="0.2"/>
    <row r="29" spans="1:6" ht="24.75" customHeight="1" x14ac:dyDescent="0.2"/>
    <row r="30" spans="1:6" ht="24.75" customHeight="1" x14ac:dyDescent="0.2"/>
    <row r="31" spans="1:6" ht="24.75" customHeight="1" x14ac:dyDescent="0.2"/>
    <row r="32" spans="1:6" ht="24.75" customHeight="1" x14ac:dyDescent="0.2"/>
    <row r="33" ht="24.75" customHeight="1" x14ac:dyDescent="0.2"/>
  </sheetData>
  <mergeCells count="2">
    <mergeCell ref="A1:E1"/>
    <mergeCell ref="B2:F2"/>
  </mergeCells>
  <printOptions horizontalCentered="1"/>
  <pageMargins left="0.39370078740157483" right="0.39370078740157483" top="0.39370078740157483" bottom="0.39370078740157483" header="0" footer="0"/>
  <pageSetup paperSize="9" scale="85" orientation="portrait" r:id="rId1"/>
  <headerFooter alignWithMargins="0">
    <oddHeader>&amp;L&amp;"Arial,Itálico"&amp;11HISTÓRICOS ORÇAMENTÁRIOS</oddHeader>
    <oddFooter>&amp;RPágina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showGridLines="0" view="pageBreakPreview" zoomScaleNormal="85" zoomScaleSheetLayoutView="100" workbookViewId="0">
      <selection activeCell="C7" sqref="C7"/>
    </sheetView>
  </sheetViews>
  <sheetFormatPr defaultRowHeight="12.75" x14ac:dyDescent="0.2"/>
  <cols>
    <col min="1" max="1" width="13.42578125" style="143" customWidth="1"/>
    <col min="2" max="2" width="49.28515625" style="143" customWidth="1"/>
    <col min="3" max="3" width="11" style="143" customWidth="1"/>
    <col min="4" max="4" width="8" style="143" customWidth="1"/>
    <col min="5" max="5" width="10.140625" style="143" customWidth="1"/>
    <col min="6" max="6" width="10.28515625" style="143" customWidth="1"/>
    <col min="7" max="7" width="61" style="143" bestFit="1" customWidth="1"/>
    <col min="8" max="16384" width="9.140625" style="143"/>
  </cols>
  <sheetData>
    <row r="1" spans="1:6" s="138" customFormat="1" ht="18.75" customHeight="1" x14ac:dyDescent="0.2">
      <c r="A1" s="447" t="s">
        <v>762</v>
      </c>
      <c r="B1" s="447"/>
      <c r="C1" s="447"/>
      <c r="D1" s="447"/>
      <c r="E1" s="447"/>
      <c r="F1" s="447"/>
    </row>
    <row r="2" spans="1:6" s="138" customFormat="1" ht="18.75" customHeight="1" x14ac:dyDescent="0.2">
      <c r="A2" s="175"/>
      <c r="B2" s="175"/>
      <c r="C2" s="175"/>
      <c r="D2" s="175"/>
      <c r="E2" s="175"/>
      <c r="F2" s="175"/>
    </row>
    <row r="3" spans="1:6" ht="16.5" customHeight="1" x14ac:dyDescent="0.2">
      <c r="A3" s="176" t="s">
        <v>763</v>
      </c>
      <c r="B3" s="448" t="s">
        <v>764</v>
      </c>
      <c r="C3" s="448"/>
      <c r="D3" s="448"/>
      <c r="E3" s="448"/>
      <c r="F3" s="448"/>
    </row>
    <row r="4" spans="1:6" ht="12" customHeight="1" x14ac:dyDescent="0.25">
      <c r="A4" s="144"/>
      <c r="B4" s="145"/>
      <c r="C4" s="144"/>
      <c r="D4" s="144"/>
      <c r="E4" s="144"/>
      <c r="F4" s="144"/>
    </row>
    <row r="5" spans="1:6" s="138" customFormat="1" ht="16.5" customHeight="1" x14ac:dyDescent="0.2">
      <c r="A5" s="147" t="s">
        <v>306</v>
      </c>
      <c r="B5" s="148" t="s">
        <v>307</v>
      </c>
      <c r="C5" s="148" t="s">
        <v>308</v>
      </c>
      <c r="D5" s="148" t="s">
        <v>309</v>
      </c>
      <c r="E5" s="148" t="s">
        <v>310</v>
      </c>
      <c r="F5" s="148" t="s">
        <v>311</v>
      </c>
    </row>
    <row r="6" spans="1:6" s="138" customFormat="1" ht="30" x14ac:dyDescent="0.2">
      <c r="A6" s="163" t="s">
        <v>711</v>
      </c>
      <c r="B6" s="221" t="s">
        <v>712</v>
      </c>
      <c r="C6" s="213" t="s">
        <v>331</v>
      </c>
      <c r="D6" s="213">
        <v>1</v>
      </c>
      <c r="E6" s="213">
        <f>ROUND(18.5*1.2619,2)</f>
        <v>23.35</v>
      </c>
      <c r="F6" s="213">
        <f>ROUND(D6*E6,2)</f>
        <v>23.35</v>
      </c>
    </row>
    <row r="7" spans="1:6" s="138" customFormat="1" ht="39.75" customHeight="1" x14ac:dyDescent="0.2">
      <c r="A7" s="213" t="s">
        <v>656</v>
      </c>
      <c r="B7" s="221" t="s">
        <v>657</v>
      </c>
      <c r="C7" s="213" t="s">
        <v>331</v>
      </c>
      <c r="D7" s="213">
        <v>1</v>
      </c>
      <c r="E7" s="213">
        <f>ROUND(8.04*1.2619,2)</f>
        <v>10.15</v>
      </c>
      <c r="F7" s="213">
        <f t="shared" ref="F7:F15" si="0">ROUND(D7*E7,2)</f>
        <v>10.15</v>
      </c>
    </row>
    <row r="8" spans="1:6" s="138" customFormat="1" ht="29.25" customHeight="1" x14ac:dyDescent="0.2">
      <c r="A8" s="213" t="s">
        <v>404</v>
      </c>
      <c r="B8" s="221" t="s">
        <v>405</v>
      </c>
      <c r="C8" s="213" t="s">
        <v>331</v>
      </c>
      <c r="D8" s="213">
        <v>1</v>
      </c>
      <c r="E8" s="213">
        <f>ROUND(80.88*1.2619,2)</f>
        <v>102.06</v>
      </c>
      <c r="F8" s="213">
        <f t="shared" si="0"/>
        <v>102.06</v>
      </c>
    </row>
    <row r="9" spans="1:6" s="138" customFormat="1" ht="27.75" customHeight="1" x14ac:dyDescent="0.2">
      <c r="A9" s="213" t="s">
        <v>665</v>
      </c>
      <c r="B9" s="221" t="s">
        <v>125</v>
      </c>
      <c r="C9" s="213" t="s">
        <v>29</v>
      </c>
      <c r="D9" s="213">
        <v>0.95</v>
      </c>
      <c r="E9" s="213">
        <v>9.85</v>
      </c>
      <c r="F9" s="213">
        <f t="shared" si="0"/>
        <v>9.36</v>
      </c>
    </row>
    <row r="10" spans="1:6" ht="15" x14ac:dyDescent="0.2">
      <c r="A10" s="213" t="s">
        <v>666</v>
      </c>
      <c r="B10" s="221" t="s">
        <v>313</v>
      </c>
      <c r="C10" s="213" t="s">
        <v>314</v>
      </c>
      <c r="D10" s="213">
        <v>2.13</v>
      </c>
      <c r="E10" s="213">
        <v>9.94</v>
      </c>
      <c r="F10" s="213">
        <f t="shared" si="0"/>
        <v>21.17</v>
      </c>
    </row>
    <row r="11" spans="1:6" ht="23.25" customHeight="1" x14ac:dyDescent="0.2">
      <c r="A11" s="213" t="s">
        <v>315</v>
      </c>
      <c r="B11" s="221" t="s">
        <v>667</v>
      </c>
      <c r="C11" s="213" t="s">
        <v>29</v>
      </c>
      <c r="D11" s="213">
        <v>0.13</v>
      </c>
      <c r="E11" s="213">
        <v>492.8</v>
      </c>
      <c r="F11" s="213">
        <f t="shared" si="0"/>
        <v>64.06</v>
      </c>
    </row>
    <row r="12" spans="1:6" s="156" customFormat="1" ht="30" x14ac:dyDescent="0.25">
      <c r="A12" s="213" t="s">
        <v>316</v>
      </c>
      <c r="B12" s="221" t="s">
        <v>668</v>
      </c>
      <c r="C12" s="213" t="s">
        <v>30</v>
      </c>
      <c r="D12" s="213">
        <v>2.16</v>
      </c>
      <c r="E12" s="213">
        <v>54.41</v>
      </c>
      <c r="F12" s="213">
        <f t="shared" si="0"/>
        <v>117.53</v>
      </c>
    </row>
    <row r="13" spans="1:6" s="156" customFormat="1" ht="16.5" customHeight="1" x14ac:dyDescent="0.25">
      <c r="A13" s="213" t="s">
        <v>669</v>
      </c>
      <c r="B13" s="221" t="s">
        <v>670</v>
      </c>
      <c r="C13" s="213" t="s">
        <v>30</v>
      </c>
      <c r="D13" s="213">
        <v>2</v>
      </c>
      <c r="E13" s="213">
        <v>29.87</v>
      </c>
      <c r="F13" s="213">
        <f t="shared" si="0"/>
        <v>59.74</v>
      </c>
    </row>
    <row r="14" spans="1:6" s="156" customFormat="1" ht="21.75" customHeight="1" x14ac:dyDescent="0.25">
      <c r="A14" s="213" t="s">
        <v>320</v>
      </c>
      <c r="B14" s="221" t="s">
        <v>671</v>
      </c>
      <c r="C14" s="213" t="s">
        <v>30</v>
      </c>
      <c r="D14" s="213">
        <v>2</v>
      </c>
      <c r="E14" s="213">
        <v>5.98</v>
      </c>
      <c r="F14" s="213">
        <f t="shared" si="0"/>
        <v>11.96</v>
      </c>
    </row>
    <row r="15" spans="1:6" s="156" customFormat="1" ht="30" x14ac:dyDescent="0.25">
      <c r="A15" s="213" t="s">
        <v>322</v>
      </c>
      <c r="B15" s="221" t="s">
        <v>672</v>
      </c>
      <c r="C15" s="213" t="s">
        <v>30</v>
      </c>
      <c r="D15" s="213">
        <v>0.03</v>
      </c>
      <c r="E15" s="213">
        <v>15.93</v>
      </c>
      <c r="F15" s="213">
        <f t="shared" si="0"/>
        <v>0.48</v>
      </c>
    </row>
    <row r="16" spans="1:6" ht="15" x14ac:dyDescent="0.25">
      <c r="A16" s="144"/>
      <c r="B16" s="144"/>
      <c r="C16" s="144"/>
      <c r="D16" s="165"/>
      <c r="E16" s="144"/>
      <c r="F16" s="144"/>
    </row>
    <row r="17" spans="1:7" ht="15" x14ac:dyDescent="0.25">
      <c r="A17" s="144"/>
      <c r="B17" s="144"/>
      <c r="C17" s="144"/>
      <c r="D17" s="144"/>
      <c r="E17" s="166" t="s">
        <v>311</v>
      </c>
      <c r="F17" s="259">
        <f>SUM(F6:F15)</f>
        <v>419.86000000000007</v>
      </c>
    </row>
    <row r="18" spans="1:7" x14ac:dyDescent="0.2">
      <c r="A18" s="174"/>
    </row>
    <row r="21" spans="1:7" x14ac:dyDescent="0.2">
      <c r="G21" s="174"/>
    </row>
    <row r="24" spans="1:7" ht="16.5" x14ac:dyDescent="0.2">
      <c r="A24" s="163"/>
      <c r="B24" s="194"/>
      <c r="C24" s="336"/>
      <c r="D24" s="337"/>
      <c r="E24" s="286"/>
    </row>
    <row r="27" spans="1:7" x14ac:dyDescent="0.2">
      <c r="A27" s="174"/>
    </row>
  </sheetData>
  <mergeCells count="2">
    <mergeCell ref="A1:F1"/>
    <mergeCell ref="B3:F3"/>
  </mergeCells>
  <printOptions horizontalCentered="1"/>
  <pageMargins left="0.39370078740157483" right="0.39370078740157483" top="0.39370078740157483" bottom="0.39370078740157483" header="0" footer="0"/>
  <pageSetup paperSize="9" scale="92" orientation="portrait" horizontalDpi="300" verticalDpi="300" r:id="rId1"/>
  <headerFooter alignWithMargins="0">
    <oddHeader>&amp;L&amp;"Arial,Itálico"&amp;11HISTÓRICOS ORÇAMENTÁRIOS</oddHeader>
    <oddFooter>&amp;RPágina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view="pageBreakPreview" topLeftCell="A7" zoomScaleNormal="82" zoomScaleSheetLayoutView="100" workbookViewId="0">
      <selection activeCell="D11" sqref="D11"/>
    </sheetView>
  </sheetViews>
  <sheetFormatPr defaultRowHeight="12.75" x14ac:dyDescent="0.2"/>
  <cols>
    <col min="1" max="1" width="12.140625" style="143" customWidth="1"/>
    <col min="2" max="2" width="44.5703125" style="143" customWidth="1"/>
    <col min="3" max="3" width="7.42578125" style="143" customWidth="1"/>
    <col min="4" max="5" width="9.140625" style="143"/>
    <col min="6" max="6" width="11.42578125" style="143" customWidth="1"/>
    <col min="7" max="16384" width="9.140625" style="143"/>
  </cols>
  <sheetData>
    <row r="1" spans="1:17" ht="18.75" x14ac:dyDescent="0.2">
      <c r="A1" s="447" t="s">
        <v>765</v>
      </c>
      <c r="B1" s="447"/>
      <c r="C1" s="447"/>
      <c r="D1" s="447"/>
      <c r="E1" s="447"/>
      <c r="F1" s="447"/>
    </row>
    <row r="2" spans="1:17" ht="15" x14ac:dyDescent="0.25">
      <c r="A2" s="260"/>
      <c r="B2" s="145"/>
      <c r="C2" s="144"/>
      <c r="D2" s="144"/>
      <c r="E2" s="144"/>
      <c r="F2" s="144"/>
    </row>
    <row r="3" spans="1:17" ht="15" x14ac:dyDescent="0.2">
      <c r="A3" s="176" t="s">
        <v>766</v>
      </c>
      <c r="B3" s="448" t="s">
        <v>108</v>
      </c>
      <c r="C3" s="448"/>
      <c r="D3" s="448"/>
      <c r="E3" s="448"/>
      <c r="F3" s="448"/>
    </row>
    <row r="4" spans="1:17" ht="15" x14ac:dyDescent="0.25">
      <c r="A4" s="144"/>
      <c r="B4" s="145"/>
      <c r="C4" s="144"/>
      <c r="D4" s="144"/>
      <c r="E4" s="144"/>
      <c r="F4" s="144"/>
    </row>
    <row r="5" spans="1:17" ht="14.25" x14ac:dyDescent="0.2">
      <c r="A5" s="147" t="s">
        <v>306</v>
      </c>
      <c r="B5" s="148" t="s">
        <v>307</v>
      </c>
      <c r="C5" s="148" t="s">
        <v>308</v>
      </c>
      <c r="D5" s="148" t="s">
        <v>309</v>
      </c>
      <c r="E5" s="148" t="s">
        <v>310</v>
      </c>
      <c r="F5" s="148" t="s">
        <v>311</v>
      </c>
    </row>
    <row r="6" spans="1:17" ht="33" customHeight="1" x14ac:dyDescent="0.25">
      <c r="A6" s="151" t="s">
        <v>158</v>
      </c>
      <c r="B6" s="261" t="s">
        <v>368</v>
      </c>
      <c r="C6" s="151" t="s">
        <v>331</v>
      </c>
      <c r="D6" s="212">
        <v>1</v>
      </c>
      <c r="E6" s="213">
        <f>ROUND(83*1.2619,2)</f>
        <v>104.74</v>
      </c>
      <c r="F6" s="213">
        <f>ROUND(D6*E6,2)</f>
        <v>104.74</v>
      </c>
    </row>
    <row r="7" spans="1:17" ht="60" x14ac:dyDescent="0.2">
      <c r="A7" s="219" t="s">
        <v>767</v>
      </c>
      <c r="B7" s="221" t="s">
        <v>768</v>
      </c>
      <c r="C7" s="151" t="s">
        <v>331</v>
      </c>
      <c r="D7" s="222">
        <v>1</v>
      </c>
      <c r="E7" s="213">
        <f>ROUND(15.33*1.2619,2)</f>
        <v>19.34</v>
      </c>
      <c r="F7" s="213">
        <f t="shared" ref="F7:F14" si="0">ROUND(D7*E7,2)</f>
        <v>19.34</v>
      </c>
      <c r="I7" s="174"/>
    </row>
    <row r="8" spans="1:17" ht="30" x14ac:dyDescent="0.2">
      <c r="A8" s="219" t="s">
        <v>769</v>
      </c>
      <c r="B8" s="221" t="s">
        <v>770</v>
      </c>
      <c r="C8" s="151" t="s">
        <v>331</v>
      </c>
      <c r="D8" s="222">
        <v>1</v>
      </c>
      <c r="E8" s="213">
        <f>ROUND(4.62*1.2619,2)</f>
        <v>5.83</v>
      </c>
      <c r="F8" s="213">
        <f t="shared" si="0"/>
        <v>5.83</v>
      </c>
      <c r="I8" s="174"/>
    </row>
    <row r="9" spans="1:17" ht="30" x14ac:dyDescent="0.2">
      <c r="A9" s="163" t="s">
        <v>771</v>
      </c>
      <c r="B9" s="221" t="s">
        <v>638</v>
      </c>
      <c r="C9" s="151" t="s">
        <v>27</v>
      </c>
      <c r="D9" s="222">
        <v>6</v>
      </c>
      <c r="E9" s="213">
        <f>ROUND(23.47*1.2619,2)</f>
        <v>29.62</v>
      </c>
      <c r="F9" s="213">
        <f t="shared" si="0"/>
        <v>177.72</v>
      </c>
      <c r="H9" s="174"/>
    </row>
    <row r="10" spans="1:17" ht="30" x14ac:dyDescent="0.2">
      <c r="A10" s="154" t="s">
        <v>316</v>
      </c>
      <c r="B10" s="150" t="s">
        <v>317</v>
      </c>
      <c r="C10" s="151" t="s">
        <v>30</v>
      </c>
      <c r="D10" s="152">
        <v>2.8</v>
      </c>
      <c r="E10" s="151">
        <v>54.41</v>
      </c>
      <c r="F10" s="213">
        <f t="shared" si="0"/>
        <v>152.35</v>
      </c>
      <c r="H10" s="228"/>
      <c r="I10" s="228"/>
      <c r="J10" s="228"/>
      <c r="K10" s="338"/>
      <c r="L10" s="339"/>
      <c r="M10" s="340"/>
      <c r="N10" s="341"/>
      <c r="O10" s="342"/>
      <c r="P10" s="342"/>
      <c r="Q10" s="228"/>
    </row>
    <row r="11" spans="1:17" ht="30" x14ac:dyDescent="0.2">
      <c r="A11" s="163" t="s">
        <v>315</v>
      </c>
      <c r="B11" s="221" t="s">
        <v>667</v>
      </c>
      <c r="C11" s="213" t="s">
        <v>30</v>
      </c>
      <c r="D11" s="222">
        <v>0.04</v>
      </c>
      <c r="E11" s="215">
        <v>492.8</v>
      </c>
      <c r="F11" s="213">
        <f t="shared" si="0"/>
        <v>19.71</v>
      </c>
      <c r="H11" s="228"/>
      <c r="I11" s="343"/>
      <c r="J11" s="339"/>
      <c r="K11" s="344"/>
      <c r="L11" s="345"/>
      <c r="M11" s="342"/>
      <c r="N11" s="342"/>
      <c r="O11" s="228"/>
      <c r="P11" s="228"/>
      <c r="Q11" s="228"/>
    </row>
    <row r="12" spans="1:17" ht="30" x14ac:dyDescent="0.2">
      <c r="A12" s="163" t="s">
        <v>772</v>
      </c>
      <c r="B12" s="221" t="s">
        <v>773</v>
      </c>
      <c r="C12" s="213" t="s">
        <v>30</v>
      </c>
      <c r="D12" s="222">
        <v>0.64</v>
      </c>
      <c r="E12" s="213">
        <v>80.56</v>
      </c>
      <c r="F12" s="213">
        <f>ROUND(D12*E12,2)</f>
        <v>51.56</v>
      </c>
      <c r="H12" s="228"/>
      <c r="I12" s="228"/>
      <c r="J12" s="228"/>
      <c r="K12" s="228"/>
      <c r="L12" s="228"/>
      <c r="M12" s="228"/>
      <c r="N12" s="228"/>
      <c r="O12" s="228"/>
      <c r="P12" s="228"/>
    </row>
    <row r="13" spans="1:17" ht="15" x14ac:dyDescent="0.2">
      <c r="A13" s="163" t="s">
        <v>666</v>
      </c>
      <c r="B13" s="221" t="s">
        <v>313</v>
      </c>
      <c r="C13" s="213" t="s">
        <v>28</v>
      </c>
      <c r="D13" s="222">
        <v>3</v>
      </c>
      <c r="E13" s="213">
        <v>9.94</v>
      </c>
      <c r="F13" s="213">
        <f t="shared" si="0"/>
        <v>29.82</v>
      </c>
      <c r="I13" s="228"/>
      <c r="J13" s="343"/>
      <c r="K13" s="339"/>
      <c r="L13" s="340"/>
      <c r="M13" s="341"/>
      <c r="N13" s="346"/>
      <c r="O13" s="342"/>
      <c r="P13" s="228"/>
    </row>
    <row r="14" spans="1:17" ht="15" x14ac:dyDescent="0.2">
      <c r="A14" s="163" t="s">
        <v>546</v>
      </c>
      <c r="B14" s="221" t="s">
        <v>547</v>
      </c>
      <c r="C14" s="213" t="s">
        <v>348</v>
      </c>
      <c r="D14" s="222">
        <v>8</v>
      </c>
      <c r="E14" s="213">
        <f>ROUND(8.81*1.2619,2)</f>
        <v>11.12</v>
      </c>
      <c r="F14" s="213">
        <f t="shared" si="0"/>
        <v>88.96</v>
      </c>
      <c r="I14" s="228"/>
      <c r="J14" s="228"/>
      <c r="K14" s="228"/>
      <c r="L14" s="228"/>
      <c r="M14" s="228"/>
      <c r="N14" s="228"/>
      <c r="O14" s="228"/>
      <c r="P14" s="228"/>
    </row>
    <row r="15" spans="1:17" ht="30" x14ac:dyDescent="0.2">
      <c r="A15" s="163" t="s">
        <v>415</v>
      </c>
      <c r="B15" s="221" t="s">
        <v>416</v>
      </c>
      <c r="C15" s="213" t="s">
        <v>348</v>
      </c>
      <c r="D15" s="222">
        <v>16</v>
      </c>
      <c r="E15" s="213">
        <f>ROUND(10.23*1.2619,2)</f>
        <v>12.91</v>
      </c>
      <c r="F15" s="213">
        <f>ROUND(D15*E15,2)</f>
        <v>206.56</v>
      </c>
    </row>
    <row r="16" spans="1:17" ht="14.25" customHeight="1" x14ac:dyDescent="0.25">
      <c r="A16" s="162"/>
      <c r="B16" s="145"/>
      <c r="C16" s="144"/>
      <c r="D16" s="162"/>
      <c r="E16" s="268"/>
      <c r="F16" s="144"/>
    </row>
    <row r="17" spans="1:6" ht="14.25" customHeight="1" x14ac:dyDescent="0.25">
      <c r="A17" s="162"/>
      <c r="B17" s="145"/>
      <c r="C17" s="144"/>
      <c r="D17" s="162"/>
      <c r="E17" s="166" t="s">
        <v>311</v>
      </c>
      <c r="F17" s="259">
        <f>SUM(F6:F15)</f>
        <v>856.59000000000015</v>
      </c>
    </row>
    <row r="18" spans="1:6" ht="14.25" customHeight="1" x14ac:dyDescent="0.2"/>
    <row r="19" spans="1:6" ht="14.25" customHeight="1" x14ac:dyDescent="0.2"/>
    <row r="20" spans="1:6" ht="14.25" customHeight="1" x14ac:dyDescent="0.2"/>
    <row r="21" spans="1:6" ht="15" x14ac:dyDescent="0.2">
      <c r="A21" s="163"/>
      <c r="B21" s="216"/>
      <c r="C21" s="213"/>
      <c r="D21" s="215"/>
      <c r="F21" s="213"/>
    </row>
    <row r="22" spans="1:6" ht="15" x14ac:dyDescent="0.2">
      <c r="A22" s="163"/>
      <c r="B22" s="216"/>
      <c r="C22" s="213"/>
      <c r="D22" s="215"/>
      <c r="E22" s="267"/>
      <c r="F22" s="213"/>
    </row>
  </sheetData>
  <mergeCells count="2">
    <mergeCell ref="A1:F1"/>
    <mergeCell ref="B3:F3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view="pageBreakPreview" topLeftCell="A13" zoomScaleNormal="87" zoomScaleSheetLayoutView="100" workbookViewId="0">
      <selection activeCell="B17" activeCellId="1" sqref="F14 B17"/>
    </sheetView>
  </sheetViews>
  <sheetFormatPr defaultRowHeight="12.75" x14ac:dyDescent="0.2"/>
  <cols>
    <col min="1" max="1" width="14.42578125" style="143" bestFit="1" customWidth="1"/>
    <col min="2" max="2" width="43.28515625" style="143" customWidth="1"/>
    <col min="3" max="3" width="8.28515625" style="143" customWidth="1"/>
    <col min="4" max="5" width="9.140625" style="143"/>
    <col min="6" max="6" width="14" style="143" customWidth="1"/>
    <col min="7" max="16384" width="9.140625" style="143"/>
  </cols>
  <sheetData>
    <row r="1" spans="1:9" ht="18.75" x14ac:dyDescent="0.2">
      <c r="A1" s="447" t="s">
        <v>774</v>
      </c>
      <c r="B1" s="447"/>
      <c r="C1" s="447"/>
      <c r="D1" s="447"/>
      <c r="E1" s="447"/>
      <c r="F1" s="447"/>
    </row>
    <row r="2" spans="1:9" ht="15" x14ac:dyDescent="0.25">
      <c r="A2" s="260"/>
      <c r="B2" s="145"/>
      <c r="C2" s="144"/>
      <c r="D2" s="144"/>
      <c r="E2" s="144"/>
      <c r="F2" s="144"/>
    </row>
    <row r="3" spans="1:9" ht="22.5" customHeight="1" x14ac:dyDescent="0.2">
      <c r="A3" s="176" t="s">
        <v>775</v>
      </c>
      <c r="B3" s="448" t="s">
        <v>107</v>
      </c>
      <c r="C3" s="448"/>
      <c r="D3" s="448"/>
      <c r="E3" s="448"/>
      <c r="F3" s="448"/>
    </row>
    <row r="4" spans="1:9" ht="15" x14ac:dyDescent="0.25">
      <c r="A4" s="144"/>
      <c r="B4" s="145"/>
      <c r="C4" s="144"/>
      <c r="D4" s="144"/>
      <c r="E4" s="144"/>
      <c r="F4" s="144"/>
    </row>
    <row r="5" spans="1:9" ht="14.25" x14ac:dyDescent="0.2">
      <c r="A5" s="147" t="s">
        <v>306</v>
      </c>
      <c r="B5" s="148" t="s">
        <v>307</v>
      </c>
      <c r="C5" s="148" t="s">
        <v>308</v>
      </c>
      <c r="D5" s="148" t="s">
        <v>309</v>
      </c>
      <c r="E5" s="148" t="s">
        <v>310</v>
      </c>
      <c r="F5" s="148" t="s">
        <v>311</v>
      </c>
    </row>
    <row r="6" spans="1:9" ht="30" x14ac:dyDescent="0.25">
      <c r="A6" s="219" t="s">
        <v>158</v>
      </c>
      <c r="B6" s="216" t="s">
        <v>776</v>
      </c>
      <c r="C6" s="181" t="s">
        <v>777</v>
      </c>
      <c r="D6" s="222">
        <v>2</v>
      </c>
      <c r="E6" s="213">
        <v>127.92</v>
      </c>
      <c r="F6" s="215">
        <f>ROUND(D6*E6,2)</f>
        <v>255.84</v>
      </c>
      <c r="H6" s="347"/>
      <c r="I6" s="332"/>
    </row>
    <row r="7" spans="1:9" ht="45" x14ac:dyDescent="0.2">
      <c r="A7" s="219" t="s">
        <v>778</v>
      </c>
      <c r="B7" s="216" t="s">
        <v>779</v>
      </c>
      <c r="C7" s="222" t="s">
        <v>777</v>
      </c>
      <c r="D7" s="222">
        <v>2</v>
      </c>
      <c r="E7" s="213">
        <f>ROUND(115.47*1.2619,2)</f>
        <v>145.71</v>
      </c>
      <c r="F7" s="215">
        <f t="shared" ref="F7:F21" si="0">ROUND(D7*E7,2)</f>
        <v>291.42</v>
      </c>
      <c r="H7" s="348"/>
      <c r="I7" s="349"/>
    </row>
    <row r="8" spans="1:9" ht="15" x14ac:dyDescent="0.2">
      <c r="A8" s="219" t="s">
        <v>158</v>
      </c>
      <c r="B8" s="216" t="s">
        <v>780</v>
      </c>
      <c r="C8" s="222" t="s">
        <v>777</v>
      </c>
      <c r="D8" s="222">
        <v>4</v>
      </c>
      <c r="E8" s="215">
        <v>150</v>
      </c>
      <c r="F8" s="215">
        <f t="shared" si="0"/>
        <v>600</v>
      </c>
      <c r="H8" s="347"/>
      <c r="I8" s="332"/>
    </row>
    <row r="9" spans="1:9" ht="45" x14ac:dyDescent="0.2">
      <c r="A9" s="163" t="s">
        <v>378</v>
      </c>
      <c r="B9" s="216" t="s">
        <v>379</v>
      </c>
      <c r="C9" s="222" t="s">
        <v>777</v>
      </c>
      <c r="D9" s="222">
        <v>2</v>
      </c>
      <c r="E9" s="213">
        <f>ROUND(77.93*1.2619,2)</f>
        <v>98.34</v>
      </c>
      <c r="F9" s="215">
        <f t="shared" si="0"/>
        <v>196.68</v>
      </c>
      <c r="H9" s="348"/>
      <c r="I9" s="349"/>
    </row>
    <row r="10" spans="1:9" ht="15" x14ac:dyDescent="0.2">
      <c r="A10" s="219" t="s">
        <v>158</v>
      </c>
      <c r="B10" s="216" t="s">
        <v>781</v>
      </c>
      <c r="C10" s="222" t="s">
        <v>777</v>
      </c>
      <c r="D10" s="222">
        <v>1</v>
      </c>
      <c r="E10" s="213">
        <v>160.65</v>
      </c>
      <c r="F10" s="215">
        <f t="shared" si="0"/>
        <v>160.65</v>
      </c>
      <c r="H10" s="347"/>
      <c r="I10" s="332"/>
    </row>
    <row r="11" spans="1:9" ht="29.25" customHeight="1" x14ac:dyDescent="0.2">
      <c r="A11" s="219" t="s">
        <v>158</v>
      </c>
      <c r="B11" s="216" t="s">
        <v>782</v>
      </c>
      <c r="C11" s="222" t="s">
        <v>777</v>
      </c>
      <c r="D11" s="222">
        <v>2</v>
      </c>
      <c r="E11" s="215">
        <v>588</v>
      </c>
      <c r="F11" s="215">
        <f t="shared" si="0"/>
        <v>1176</v>
      </c>
      <c r="H11" s="347"/>
      <c r="I11" s="332"/>
    </row>
    <row r="12" spans="1:9" ht="47.25" customHeight="1" x14ac:dyDescent="0.2">
      <c r="A12" s="219" t="s">
        <v>158</v>
      </c>
      <c r="B12" s="216" t="s">
        <v>783</v>
      </c>
      <c r="C12" s="222" t="s">
        <v>777</v>
      </c>
      <c r="D12" s="222">
        <v>1</v>
      </c>
      <c r="E12" s="213">
        <v>1937.25</v>
      </c>
      <c r="F12" s="215">
        <f t="shared" si="0"/>
        <v>1937.25</v>
      </c>
      <c r="H12" s="347"/>
      <c r="I12" s="332"/>
    </row>
    <row r="13" spans="1:9" ht="27.75" customHeight="1" x14ac:dyDescent="0.2">
      <c r="A13" s="219" t="s">
        <v>158</v>
      </c>
      <c r="B13" s="216" t="s">
        <v>784</v>
      </c>
      <c r="C13" s="222" t="s">
        <v>777</v>
      </c>
      <c r="D13" s="222">
        <v>2</v>
      </c>
      <c r="E13" s="215">
        <v>292</v>
      </c>
      <c r="F13" s="215">
        <f t="shared" si="0"/>
        <v>584</v>
      </c>
      <c r="H13" s="347"/>
      <c r="I13" s="332"/>
    </row>
    <row r="14" spans="1:9" ht="19.5" customHeight="1" x14ac:dyDescent="0.2">
      <c r="A14" s="219" t="s">
        <v>158</v>
      </c>
      <c r="B14" s="216" t="s">
        <v>785</v>
      </c>
      <c r="C14" s="222" t="s">
        <v>777</v>
      </c>
      <c r="D14" s="222">
        <v>2</v>
      </c>
      <c r="E14" s="215">
        <v>564</v>
      </c>
      <c r="F14" s="215">
        <f t="shared" si="0"/>
        <v>1128</v>
      </c>
      <c r="H14" s="347"/>
      <c r="I14" s="332"/>
    </row>
    <row r="15" spans="1:9" ht="30" customHeight="1" x14ac:dyDescent="0.2">
      <c r="A15" s="219" t="s">
        <v>158</v>
      </c>
      <c r="B15" s="216" t="s">
        <v>786</v>
      </c>
      <c r="C15" s="222" t="s">
        <v>777</v>
      </c>
      <c r="D15" s="222">
        <v>1</v>
      </c>
      <c r="E15" s="215">
        <v>115</v>
      </c>
      <c r="F15" s="215">
        <f t="shared" si="0"/>
        <v>115</v>
      </c>
      <c r="H15" s="347"/>
      <c r="I15" s="332"/>
    </row>
    <row r="16" spans="1:9" ht="30" x14ac:dyDescent="0.2">
      <c r="A16" s="219" t="s">
        <v>158</v>
      </c>
      <c r="B16" s="216" t="s">
        <v>787</v>
      </c>
      <c r="C16" s="222" t="s">
        <v>777</v>
      </c>
      <c r="D16" s="222">
        <v>1</v>
      </c>
      <c r="E16" s="213">
        <v>135.44999999999999</v>
      </c>
      <c r="F16" s="215">
        <f t="shared" si="0"/>
        <v>135.44999999999999</v>
      </c>
      <c r="H16" s="347"/>
      <c r="I16" s="332"/>
    </row>
    <row r="17" spans="1:9" ht="30" x14ac:dyDescent="0.2">
      <c r="A17" s="154" t="s">
        <v>316</v>
      </c>
      <c r="B17" s="224" t="s">
        <v>317</v>
      </c>
      <c r="C17" s="151" t="s">
        <v>30</v>
      </c>
      <c r="D17" s="222">
        <v>18.399999999999999</v>
      </c>
      <c r="E17" s="151">
        <v>54.41</v>
      </c>
      <c r="F17" s="215">
        <f>ROUND(D17*E17,2)</f>
        <v>1001.14</v>
      </c>
      <c r="H17" s="348"/>
      <c r="I17" s="332"/>
    </row>
    <row r="18" spans="1:9" ht="30" x14ac:dyDescent="0.2">
      <c r="A18" s="163" t="s">
        <v>315</v>
      </c>
      <c r="B18" s="216" t="s">
        <v>667</v>
      </c>
      <c r="C18" s="213" t="s">
        <v>30</v>
      </c>
      <c r="D18" s="222">
        <v>1.26</v>
      </c>
      <c r="E18" s="215">
        <v>492.8</v>
      </c>
      <c r="F18" s="215">
        <f>ROUND(D18*E18,2)</f>
        <v>620.92999999999995</v>
      </c>
      <c r="H18" s="348"/>
      <c r="I18" s="332"/>
    </row>
    <row r="19" spans="1:9" ht="30" x14ac:dyDescent="0.2">
      <c r="A19" s="163" t="s">
        <v>772</v>
      </c>
      <c r="B19" s="221" t="s">
        <v>773</v>
      </c>
      <c r="C19" s="213" t="s">
        <v>30</v>
      </c>
      <c r="D19" s="222">
        <v>5.4</v>
      </c>
      <c r="E19" s="213">
        <v>80.56</v>
      </c>
      <c r="F19" s="215">
        <f>ROUND(D19*E19,2)</f>
        <v>435.02</v>
      </c>
      <c r="H19" s="348"/>
      <c r="I19" s="332"/>
    </row>
    <row r="20" spans="1:9" ht="15" x14ac:dyDescent="0.2">
      <c r="A20" s="163" t="s">
        <v>666</v>
      </c>
      <c r="B20" s="221" t="s">
        <v>313</v>
      </c>
      <c r="C20" s="213" t="s">
        <v>28</v>
      </c>
      <c r="D20" s="222">
        <v>63</v>
      </c>
      <c r="E20" s="213">
        <v>9.94</v>
      </c>
      <c r="F20" s="215">
        <f>ROUND(D20*E20,2)</f>
        <v>626.22</v>
      </c>
      <c r="H20" s="348"/>
      <c r="I20" s="332"/>
    </row>
    <row r="21" spans="1:9" ht="15" x14ac:dyDescent="0.2">
      <c r="A21" s="163" t="s">
        <v>546</v>
      </c>
      <c r="B21" s="221" t="s">
        <v>547</v>
      </c>
      <c r="C21" s="213" t="s">
        <v>348</v>
      </c>
      <c r="D21" s="222">
        <v>16</v>
      </c>
      <c r="E21" s="213">
        <f>ROUND(8.81*1.2619,2)</f>
        <v>11.12</v>
      </c>
      <c r="F21" s="215">
        <f t="shared" si="0"/>
        <v>177.92</v>
      </c>
      <c r="H21" s="228"/>
      <c r="I21" s="332"/>
    </row>
    <row r="22" spans="1:9" ht="30" x14ac:dyDescent="0.2">
      <c r="A22" s="163" t="s">
        <v>415</v>
      </c>
      <c r="B22" s="221" t="s">
        <v>416</v>
      </c>
      <c r="C22" s="213" t="s">
        <v>348</v>
      </c>
      <c r="D22" s="222">
        <v>24</v>
      </c>
      <c r="E22" s="213">
        <f>ROUND(10.23*1.2619,2)</f>
        <v>12.91</v>
      </c>
      <c r="F22" s="215">
        <f>ROUND(D22*E22,2)</f>
        <v>309.83999999999997</v>
      </c>
    </row>
    <row r="23" spans="1:9" ht="15" x14ac:dyDescent="0.25">
      <c r="A23" s="162"/>
      <c r="B23" s="145"/>
      <c r="C23" s="144"/>
      <c r="D23" s="162"/>
      <c r="E23" s="268"/>
      <c r="F23" s="144"/>
    </row>
    <row r="24" spans="1:9" ht="15" x14ac:dyDescent="0.25">
      <c r="A24" s="162"/>
      <c r="B24" s="145"/>
      <c r="C24" s="144"/>
      <c r="D24" s="162"/>
      <c r="E24" s="166" t="s">
        <v>311</v>
      </c>
      <c r="F24" s="259">
        <f>SUM(F6:F22)</f>
        <v>9751.36</v>
      </c>
    </row>
  </sheetData>
  <mergeCells count="2">
    <mergeCell ref="A1:F1"/>
    <mergeCell ref="B3:F3"/>
  </mergeCells>
  <pageMargins left="0.51181102362204722" right="0.51181102362204722" top="0.78740157480314965" bottom="0.78740157480314965" header="0.31496062992125984" footer="0.31496062992125984"/>
  <pageSetup paperSize="9" scale="9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showGridLines="0" view="pageBreakPreview" zoomScaleNormal="100" zoomScaleSheetLayoutView="100" workbookViewId="0">
      <selection activeCell="G5" sqref="G5"/>
    </sheetView>
  </sheetViews>
  <sheetFormatPr defaultRowHeight="12.75" x14ac:dyDescent="0.2"/>
  <cols>
    <col min="1" max="1" width="7.28515625" style="19" customWidth="1"/>
    <col min="2" max="2" width="41.85546875" style="19" customWidth="1"/>
    <col min="3" max="3" width="10.42578125" style="19" customWidth="1"/>
    <col min="4" max="4" width="6.7109375" style="19" customWidth="1"/>
    <col min="5" max="5" width="10.7109375" style="19" customWidth="1"/>
    <col min="6" max="6" width="7.85546875" style="19" customWidth="1"/>
    <col min="7" max="7" width="9.85546875" style="19" customWidth="1"/>
    <col min="8" max="8" width="7.7109375" style="19" bestFit="1" customWidth="1"/>
    <col min="9" max="9" width="10.5703125" style="19" customWidth="1"/>
    <col min="10" max="10" width="7.5703125" style="19" customWidth="1"/>
    <col min="11" max="11" width="9.140625" style="19"/>
    <col min="12" max="12" width="9.7109375" style="19" bestFit="1" customWidth="1"/>
    <col min="13" max="16384" width="9.140625" style="19"/>
  </cols>
  <sheetData>
    <row r="1" spans="1:18" s="17" customFormat="1" x14ac:dyDescent="0.2">
      <c r="A1" s="99"/>
    </row>
    <row r="2" spans="1:18" s="17" customFormat="1" ht="59.25" customHeight="1" x14ac:dyDescent="0.25">
      <c r="A2" s="99"/>
      <c r="B2" s="437" t="s">
        <v>13</v>
      </c>
      <c r="C2" s="437"/>
      <c r="D2" s="437"/>
      <c r="E2" s="437"/>
      <c r="F2" s="437"/>
      <c r="G2" s="437"/>
      <c r="H2" s="437"/>
      <c r="I2" s="437"/>
      <c r="J2" s="437"/>
      <c r="N2" s="101"/>
      <c r="O2" s="440"/>
      <c r="P2" s="440"/>
      <c r="Q2" s="440"/>
      <c r="R2" s="440"/>
    </row>
    <row r="3" spans="1:18" s="17" customFormat="1" ht="12" customHeight="1" x14ac:dyDescent="0.25">
      <c r="A3" s="99"/>
      <c r="D3" s="100"/>
      <c r="E3" s="100"/>
      <c r="F3" s="100"/>
      <c r="G3" s="100"/>
      <c r="H3" s="100"/>
      <c r="N3" s="101"/>
      <c r="O3" s="440"/>
      <c r="P3" s="440"/>
      <c r="Q3" s="440"/>
      <c r="R3" s="440"/>
    </row>
    <row r="4" spans="1:18" s="93" customFormat="1" x14ac:dyDescent="0.2">
      <c r="A4" s="98" t="s">
        <v>230</v>
      </c>
      <c r="B4" s="439" t="s">
        <v>181</v>
      </c>
      <c r="C4" s="439"/>
      <c r="D4" s="439"/>
      <c r="E4" s="439"/>
      <c r="F4" s="439"/>
      <c r="G4" s="439"/>
      <c r="H4" s="439"/>
      <c r="N4" s="98"/>
      <c r="O4" s="440"/>
      <c r="P4" s="440"/>
      <c r="Q4" s="440"/>
      <c r="R4" s="440"/>
    </row>
    <row r="5" spans="1:18" s="17" customFormat="1" ht="13.5" customHeight="1" x14ac:dyDescent="0.2">
      <c r="A5" s="99" t="s">
        <v>183</v>
      </c>
      <c r="B5" s="17" t="s">
        <v>182</v>
      </c>
      <c r="C5" s="441"/>
      <c r="D5" s="441"/>
      <c r="E5" s="102"/>
      <c r="F5" s="102"/>
    </row>
    <row r="6" spans="1:18" s="17" customFormat="1" ht="13.5" customHeight="1" x14ac:dyDescent="0.2">
      <c r="A6" s="119" t="s">
        <v>300</v>
      </c>
      <c r="B6" s="120">
        <v>43221</v>
      </c>
      <c r="E6" s="102"/>
      <c r="F6" s="102"/>
    </row>
    <row r="7" spans="1:18" ht="13.5" customHeight="1" x14ac:dyDescent="0.2">
      <c r="A7" s="103" t="s">
        <v>41</v>
      </c>
      <c r="B7" s="103" t="s">
        <v>40</v>
      </c>
      <c r="C7" s="103" t="s">
        <v>11</v>
      </c>
      <c r="D7" s="103" t="s">
        <v>12</v>
      </c>
      <c r="E7" s="104" t="s">
        <v>46</v>
      </c>
      <c r="F7" s="103" t="s">
        <v>12</v>
      </c>
      <c r="G7" s="105" t="s">
        <v>47</v>
      </c>
      <c r="H7" s="103" t="s">
        <v>12</v>
      </c>
    </row>
    <row r="8" spans="1:18" x14ac:dyDescent="0.2">
      <c r="A8" s="106">
        <v>1</v>
      </c>
      <c r="B8" s="107" t="str">
        <f>PLANILHA!D8</f>
        <v>CANTEIRO DE OBRAS</v>
      </c>
      <c r="C8" s="108">
        <f>PLANILHA!H8</f>
        <v>1135.1199999999999</v>
      </c>
      <c r="D8" s="108">
        <f>C8*100/C18</f>
        <v>0.52846146168067787</v>
      </c>
      <c r="E8" s="108">
        <f>1*C8</f>
        <v>1135.1199999999999</v>
      </c>
      <c r="F8" s="109">
        <f>E8/$C$18</f>
        <v>5.2846146168067792E-3</v>
      </c>
      <c r="G8" s="108"/>
      <c r="H8" s="109">
        <f>G8/$C$18</f>
        <v>0</v>
      </c>
      <c r="I8" s="110"/>
      <c r="J8" s="110"/>
    </row>
    <row r="9" spans="1:18" ht="15" customHeight="1" x14ac:dyDescent="0.2">
      <c r="A9" s="106">
        <v>2</v>
      </c>
      <c r="B9" s="107" t="str">
        <f>PLANILHA!D12</f>
        <v>CAPTAÇÃO - PRÉ FILTRO/POÇO SUCÇÃO</v>
      </c>
      <c r="C9" s="108">
        <f>PLANILHA!H12</f>
        <v>1373.29</v>
      </c>
      <c r="D9" s="108">
        <f>C9*100/C18</f>
        <v>0.63934283662648728</v>
      </c>
      <c r="E9" s="108">
        <f>1*C9</f>
        <v>1373.29</v>
      </c>
      <c r="F9" s="109">
        <f>E9/$C$18</f>
        <v>6.3934283662648731E-3</v>
      </c>
      <c r="G9" s="108"/>
      <c r="H9" s="108"/>
      <c r="I9" s="110"/>
      <c r="J9" s="110"/>
    </row>
    <row r="10" spans="1:18" ht="15" customHeight="1" x14ac:dyDescent="0.2">
      <c r="A10" s="106">
        <v>3</v>
      </c>
      <c r="B10" s="107" t="str">
        <f>PLANILHA!D18</f>
        <v>ELEVATÓRIA ÁGUA BRUTA (CASA DE BOMBAS)</v>
      </c>
      <c r="C10" s="108">
        <f>PLANILHA!H18</f>
        <v>24003.23</v>
      </c>
      <c r="D10" s="108">
        <f>C10*100/C18</f>
        <v>11.174837912165675</v>
      </c>
      <c r="E10" s="108">
        <f>1*C10</f>
        <v>24003.23</v>
      </c>
      <c r="F10" s="111">
        <f>E10/$C$18</f>
        <v>0.11174837912165674</v>
      </c>
      <c r="G10" s="108"/>
      <c r="H10" s="111">
        <f>G10/C18</f>
        <v>0</v>
      </c>
      <c r="I10" s="110"/>
      <c r="J10" s="110"/>
    </row>
    <row r="11" spans="1:18" ht="12.75" customHeight="1" x14ac:dyDescent="0.2">
      <c r="A11" s="106">
        <v>4</v>
      </c>
      <c r="B11" s="107" t="str">
        <f>PLANILHA!D42</f>
        <v>ESTAÇÃO DE TRATAMENTO DE ÁGUA</v>
      </c>
      <c r="C11" s="108">
        <f>PLANILHA!H42</f>
        <v>47603.01</v>
      </c>
      <c r="D11" s="108">
        <f>C11*100/C18</f>
        <v>22.161847421417939</v>
      </c>
      <c r="E11" s="108">
        <f>0.4*C11</f>
        <v>19041.204000000002</v>
      </c>
      <c r="F11" s="111">
        <f t="shared" ref="F11:F17" si="0">E11/$C$18</f>
        <v>8.8647389685671762E-2</v>
      </c>
      <c r="G11" s="108">
        <f>0.6*C11</f>
        <v>28561.806</v>
      </c>
      <c r="H11" s="111">
        <f t="shared" ref="H11:H17" si="1">G11/$C$18</f>
        <v>0.13297108452850764</v>
      </c>
      <c r="I11" s="110"/>
      <c r="J11" s="110"/>
    </row>
    <row r="12" spans="1:18" x14ac:dyDescent="0.2">
      <c r="A12" s="106">
        <v>5</v>
      </c>
      <c r="B12" s="107" t="str">
        <f>PLANILHA!D51</f>
        <v>CASA DE QUÍMICA</v>
      </c>
      <c r="C12" s="108">
        <f>PLANILHA!H51</f>
        <v>28733.699999999997</v>
      </c>
      <c r="D12" s="108">
        <f>C12*100/C18</f>
        <v>13.377134665492719</v>
      </c>
      <c r="E12" s="108">
        <f>1*C12</f>
        <v>28733.699999999997</v>
      </c>
      <c r="F12" s="111">
        <f t="shared" si="0"/>
        <v>0.13377134665492718</v>
      </c>
      <c r="G12" s="108"/>
      <c r="H12" s="111">
        <f t="shared" si="1"/>
        <v>0</v>
      </c>
      <c r="I12" s="110"/>
      <c r="J12" s="110"/>
    </row>
    <row r="13" spans="1:18" x14ac:dyDescent="0.2">
      <c r="A13" s="106">
        <v>6</v>
      </c>
      <c r="B13" s="107" t="str">
        <f>PLANILHA!D71</f>
        <v>FLOCULADOR/DECANTADOR</v>
      </c>
      <c r="C13" s="108">
        <f>PLANILHA!H71</f>
        <v>15745.62</v>
      </c>
      <c r="D13" s="108">
        <f>C13*100/C18</f>
        <v>7.3304614140077851</v>
      </c>
      <c r="E13" s="108">
        <f>0.27*C13</f>
        <v>4251.3174000000008</v>
      </c>
      <c r="F13" s="111">
        <f t="shared" si="0"/>
        <v>1.9792245817821023E-2</v>
      </c>
      <c r="G13" s="108">
        <f>0.73*C13</f>
        <v>11494.302600000001</v>
      </c>
      <c r="H13" s="111">
        <f t="shared" si="1"/>
        <v>5.351236832225683E-2</v>
      </c>
      <c r="I13" s="110"/>
      <c r="J13" s="110"/>
    </row>
    <row r="14" spans="1:18" x14ac:dyDescent="0.2">
      <c r="A14" s="106">
        <v>7</v>
      </c>
      <c r="B14" s="107" t="str">
        <f>PLANILHA!D80</f>
        <v>FILTRO RÁPIDO 3L/S</v>
      </c>
      <c r="C14" s="108">
        <f>PLANILHA!H80</f>
        <v>9392.1400000000012</v>
      </c>
      <c r="D14" s="108">
        <f>C14*100/C18</f>
        <v>4.3725632820402804</v>
      </c>
      <c r="E14" s="108"/>
      <c r="F14" s="111"/>
      <c r="G14" s="108">
        <f>1*C14</f>
        <v>9392.1400000000012</v>
      </c>
      <c r="H14" s="111">
        <f t="shared" si="1"/>
        <v>4.3725632820402809E-2</v>
      </c>
      <c r="I14" s="110"/>
      <c r="J14" s="110"/>
    </row>
    <row r="15" spans="1:18" x14ac:dyDescent="0.2">
      <c r="A15" s="106">
        <v>8</v>
      </c>
      <c r="B15" s="107" t="str">
        <f>PLANILHA!D84</f>
        <v>ELEVATÓRIA DE ÁGUA TRATADA</v>
      </c>
      <c r="C15" s="108">
        <f>PLANILHA!H84</f>
        <v>13522.2</v>
      </c>
      <c r="D15" s="108">
        <f>C15*100/C18</f>
        <v>6.2953358033850728</v>
      </c>
      <c r="E15" s="108">
        <f>0.4*C15</f>
        <v>5408.880000000001</v>
      </c>
      <c r="F15" s="111">
        <f t="shared" si="0"/>
        <v>2.5181343213540295E-2</v>
      </c>
      <c r="G15" s="108">
        <f>0.6*C15</f>
        <v>8113.32</v>
      </c>
      <c r="H15" s="111">
        <f t="shared" si="1"/>
        <v>3.7772014820310437E-2</v>
      </c>
      <c r="I15" s="110"/>
      <c r="J15" s="110"/>
    </row>
    <row r="16" spans="1:18" x14ac:dyDescent="0.2">
      <c r="A16" s="106">
        <v>9</v>
      </c>
      <c r="B16" s="112" t="str">
        <f>PLANILHA!D98</f>
        <v>RESERVATÓRIOS</v>
      </c>
      <c r="C16" s="108">
        <f>PLANILHA!H98</f>
        <v>33662.770000000004</v>
      </c>
      <c r="D16" s="108">
        <f>C16*100/C18</f>
        <v>15.671890759056733</v>
      </c>
      <c r="E16" s="108">
        <f>0.3*C16</f>
        <v>10098.831</v>
      </c>
      <c r="F16" s="109">
        <f>E16/$C$18</f>
        <v>4.7015672277170191E-2</v>
      </c>
      <c r="G16" s="108">
        <f>0.7*C16</f>
        <v>23563.939000000002</v>
      </c>
      <c r="H16" s="109">
        <f t="shared" si="1"/>
        <v>0.10970323531339712</v>
      </c>
      <c r="I16" s="110"/>
      <c r="J16" s="110"/>
    </row>
    <row r="17" spans="1:10" x14ac:dyDescent="0.2">
      <c r="A17" s="106">
        <v>10</v>
      </c>
      <c r="B17" s="112" t="str">
        <f>PLANILHA!D107</f>
        <v>REDE DE DISTRIBUIÇÃO</v>
      </c>
      <c r="C17" s="108">
        <f>PLANILHA!H107</f>
        <v>39626.04</v>
      </c>
      <c r="D17" s="108">
        <f>C17*100/C18</f>
        <v>18.448124444126623</v>
      </c>
      <c r="E17" s="108">
        <f>0.48*C17</f>
        <v>19020.499199999998</v>
      </c>
      <c r="F17" s="111">
        <f t="shared" si="0"/>
        <v>8.8550997331807782E-2</v>
      </c>
      <c r="G17" s="108">
        <f>0.52*C17</f>
        <v>20605.540800000002</v>
      </c>
      <c r="H17" s="111">
        <f t="shared" si="1"/>
        <v>9.5930247109458452E-2</v>
      </c>
      <c r="I17" s="110"/>
      <c r="J17" s="110"/>
    </row>
    <row r="18" spans="1:10" s="22" customFormat="1" x14ac:dyDescent="0.2">
      <c r="A18" s="444" t="s">
        <v>43</v>
      </c>
      <c r="B18" s="445"/>
      <c r="C18" s="113">
        <f t="shared" ref="C18:H18" si="2">SUM(C8:C17)</f>
        <v>214797.12000000002</v>
      </c>
      <c r="D18" s="113">
        <f t="shared" si="2"/>
        <v>100</v>
      </c>
      <c r="E18" s="114">
        <f t="shared" si="2"/>
        <v>113066.0716</v>
      </c>
      <c r="F18" s="115">
        <f t="shared" si="2"/>
        <v>0.52638541708566666</v>
      </c>
      <c r="G18" s="114">
        <f t="shared" si="2"/>
        <v>101731.0484</v>
      </c>
      <c r="H18" s="115">
        <f t="shared" si="2"/>
        <v>0.47361458291433328</v>
      </c>
    </row>
    <row r="19" spans="1:10" s="22" customFormat="1" x14ac:dyDescent="0.2">
      <c r="A19" s="442" t="s">
        <v>39</v>
      </c>
      <c r="B19" s="443"/>
      <c r="C19" s="116"/>
      <c r="D19" s="116"/>
      <c r="E19" s="117">
        <f>E18</f>
        <v>113066.0716</v>
      </c>
      <c r="F19" s="118">
        <f>F18</f>
        <v>0.52638541708566666</v>
      </c>
      <c r="G19" s="117">
        <f>G18+E19</f>
        <v>214797.12</v>
      </c>
      <c r="H19" s="118">
        <f>H18+F19</f>
        <v>1</v>
      </c>
    </row>
    <row r="24" spans="1:10" x14ac:dyDescent="0.2">
      <c r="E24" s="446"/>
      <c r="F24" s="446"/>
      <c r="G24" s="446"/>
      <c r="H24" s="446"/>
    </row>
    <row r="25" spans="1:10" x14ac:dyDescent="0.2">
      <c r="E25" s="438"/>
      <c r="F25" s="438"/>
      <c r="G25" s="438"/>
      <c r="H25" s="438"/>
    </row>
    <row r="26" spans="1:10" x14ac:dyDescent="0.2">
      <c r="C26" s="110"/>
      <c r="E26" s="438"/>
      <c r="F26" s="438"/>
      <c r="G26" s="438"/>
      <c r="H26" s="438"/>
    </row>
    <row r="27" spans="1:10" x14ac:dyDescent="0.2">
      <c r="E27" s="438"/>
      <c r="F27" s="438"/>
      <c r="G27" s="438"/>
      <c r="H27" s="438"/>
    </row>
    <row r="28" spans="1:10" x14ac:dyDescent="0.2">
      <c r="E28" s="22"/>
      <c r="F28" s="22"/>
      <c r="J28" s="22"/>
    </row>
    <row r="30" spans="1:10" ht="7.5" customHeight="1" x14ac:dyDescent="0.2"/>
    <row r="31" spans="1:10" hidden="1" x14ac:dyDescent="0.2"/>
    <row r="32" spans="1:10" ht="12.75" customHeight="1" x14ac:dyDescent="0.5">
      <c r="B32" s="38"/>
      <c r="C32" s="38"/>
      <c r="D32" s="38"/>
      <c r="E32" s="38"/>
      <c r="F32" s="38"/>
      <c r="G32" s="38"/>
      <c r="H32" s="38"/>
      <c r="I32" s="38"/>
      <c r="J32" s="38"/>
    </row>
    <row r="33" spans="2:10" ht="39" customHeight="1" x14ac:dyDescent="0.5">
      <c r="B33" s="38"/>
      <c r="C33" s="38"/>
      <c r="D33" s="38"/>
      <c r="E33" s="38"/>
      <c r="F33" s="38"/>
      <c r="G33" s="38"/>
      <c r="H33" s="38"/>
      <c r="I33" s="38"/>
      <c r="J33" s="38"/>
    </row>
  </sheetData>
  <mergeCells count="10">
    <mergeCell ref="B2:J2"/>
    <mergeCell ref="E27:H27"/>
    <mergeCell ref="E26:H26"/>
    <mergeCell ref="B4:H4"/>
    <mergeCell ref="O2:R4"/>
    <mergeCell ref="C5:D5"/>
    <mergeCell ref="A19:B19"/>
    <mergeCell ref="A18:B18"/>
    <mergeCell ref="E25:H25"/>
    <mergeCell ref="E24:H24"/>
  </mergeCells>
  <phoneticPr fontId="0" type="noConversion"/>
  <printOptions horizontalCentered="1"/>
  <pageMargins left="0.62" right="0.23622047244094491" top="0.74803149606299213" bottom="0.74803149606299213" header="0.31496062992125984" footer="0.31496062992125984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showGridLines="0" view="pageBreakPreview" zoomScale="80" zoomScaleNormal="100" zoomScaleSheetLayoutView="80" workbookViewId="0">
      <selection activeCell="D9" sqref="D9"/>
    </sheetView>
  </sheetViews>
  <sheetFormatPr defaultRowHeight="12.75" x14ac:dyDescent="0.2"/>
  <cols>
    <col min="1" max="1" width="15.85546875" style="143" customWidth="1"/>
    <col min="2" max="2" width="47.5703125" style="143" customWidth="1"/>
    <col min="3" max="3" width="8.5703125" style="143" customWidth="1"/>
    <col min="4" max="4" width="10" style="143" customWidth="1"/>
    <col min="5" max="5" width="11.5703125" style="143" customWidth="1"/>
    <col min="6" max="6" width="10.85546875" style="143" customWidth="1"/>
    <col min="7" max="7" width="13.7109375" style="143" customWidth="1"/>
    <col min="8" max="16384" width="9.140625" style="143"/>
  </cols>
  <sheetData>
    <row r="1" spans="1:12" s="138" customFormat="1" ht="18.75" customHeight="1" x14ac:dyDescent="0.2">
      <c r="A1" s="447" t="s">
        <v>303</v>
      </c>
      <c r="B1" s="447"/>
      <c r="C1" s="447"/>
      <c r="D1" s="447"/>
      <c r="E1" s="447"/>
      <c r="F1" s="447"/>
    </row>
    <row r="2" spans="1:12" s="138" customFormat="1" ht="15" customHeight="1" x14ac:dyDescent="0.2">
      <c r="C2" s="139"/>
      <c r="D2" s="140"/>
    </row>
    <row r="3" spans="1:12" ht="36" customHeight="1" x14ac:dyDescent="0.2">
      <c r="A3" s="141" t="s">
        <v>304</v>
      </c>
      <c r="B3" s="448" t="s">
        <v>305</v>
      </c>
      <c r="C3" s="448"/>
      <c r="D3" s="448"/>
      <c r="E3" s="448"/>
      <c r="F3" s="448"/>
    </row>
    <row r="4" spans="1:12" ht="12" customHeight="1" x14ac:dyDescent="0.25">
      <c r="A4" s="144"/>
      <c r="B4" s="145"/>
      <c r="C4" s="144"/>
      <c r="D4" s="146"/>
      <c r="E4" s="144"/>
      <c r="F4" s="146"/>
    </row>
    <row r="5" spans="1:12" s="138" customFormat="1" ht="16.5" customHeight="1" x14ac:dyDescent="0.2">
      <c r="A5" s="147" t="s">
        <v>306</v>
      </c>
      <c r="B5" s="148" t="s">
        <v>307</v>
      </c>
      <c r="C5" s="148" t="s">
        <v>308</v>
      </c>
      <c r="D5" s="148" t="s">
        <v>309</v>
      </c>
      <c r="E5" s="148" t="s">
        <v>310</v>
      </c>
      <c r="F5" s="148" t="s">
        <v>311</v>
      </c>
    </row>
    <row r="6" spans="1:12" ht="60" x14ac:dyDescent="0.2">
      <c r="A6" s="149">
        <v>7040100060</v>
      </c>
      <c r="B6" s="150" t="s">
        <v>312</v>
      </c>
      <c r="C6" s="151" t="s">
        <v>29</v>
      </c>
      <c r="D6" s="152">
        <v>0.95</v>
      </c>
      <c r="E6" s="151">
        <v>9.85</v>
      </c>
      <c r="F6" s="151">
        <f>ROUND(D6*E6,2)</f>
        <v>9.36</v>
      </c>
    </row>
    <row r="7" spans="1:12" s="138" customFormat="1" ht="15" x14ac:dyDescent="0.2">
      <c r="A7" s="151">
        <v>7070100200</v>
      </c>
      <c r="B7" s="153" t="s">
        <v>313</v>
      </c>
      <c r="C7" s="151" t="s">
        <v>314</v>
      </c>
      <c r="D7" s="152">
        <v>2.13</v>
      </c>
      <c r="E7" s="151">
        <v>9.94</v>
      </c>
      <c r="F7" s="151">
        <f t="shared" ref="F7:F12" si="0">ROUND(D7*E7,2)</f>
        <v>21.17</v>
      </c>
    </row>
    <row r="8" spans="1:12" s="138" customFormat="1" ht="30" x14ac:dyDescent="0.2">
      <c r="A8" s="154" t="s">
        <v>315</v>
      </c>
      <c r="B8" s="150" t="s">
        <v>116</v>
      </c>
      <c r="C8" s="151" t="s">
        <v>29</v>
      </c>
      <c r="D8" s="152">
        <v>0.13</v>
      </c>
      <c r="E8" s="151">
        <v>492.8</v>
      </c>
      <c r="F8" s="151">
        <f t="shared" si="0"/>
        <v>64.06</v>
      </c>
      <c r="L8" s="155"/>
    </row>
    <row r="9" spans="1:12" ht="30" x14ac:dyDescent="0.2">
      <c r="A9" s="154" t="s">
        <v>316</v>
      </c>
      <c r="B9" s="150" t="s">
        <v>317</v>
      </c>
      <c r="C9" s="151" t="s">
        <v>30</v>
      </c>
      <c r="D9" s="152">
        <v>2.16</v>
      </c>
      <c r="E9" s="151">
        <v>54.41</v>
      </c>
      <c r="F9" s="151">
        <f t="shared" si="0"/>
        <v>117.53</v>
      </c>
    </row>
    <row r="10" spans="1:12" ht="30" x14ac:dyDescent="0.2">
      <c r="A10" s="154" t="s">
        <v>318</v>
      </c>
      <c r="B10" s="150" t="s">
        <v>319</v>
      </c>
      <c r="C10" s="151" t="s">
        <v>30</v>
      </c>
      <c r="D10" s="152">
        <v>2</v>
      </c>
      <c r="E10" s="151">
        <v>20.239999999999998</v>
      </c>
      <c r="F10" s="151">
        <f t="shared" si="0"/>
        <v>40.479999999999997</v>
      </c>
    </row>
    <row r="11" spans="1:12" s="156" customFormat="1" ht="30" x14ac:dyDescent="0.25">
      <c r="A11" s="154" t="s">
        <v>320</v>
      </c>
      <c r="B11" s="150" t="s">
        <v>321</v>
      </c>
      <c r="C11" s="151" t="s">
        <v>30</v>
      </c>
      <c r="D11" s="152">
        <v>2</v>
      </c>
      <c r="E11" s="151">
        <v>5.98</v>
      </c>
      <c r="F11" s="151">
        <f t="shared" si="0"/>
        <v>11.96</v>
      </c>
    </row>
    <row r="12" spans="1:12" s="156" customFormat="1" ht="16.5" x14ac:dyDescent="0.25">
      <c r="A12" s="154" t="s">
        <v>322</v>
      </c>
      <c r="B12" s="150" t="s">
        <v>323</v>
      </c>
      <c r="C12" s="151" t="s">
        <v>30</v>
      </c>
      <c r="D12" s="152">
        <v>0.03</v>
      </c>
      <c r="E12" s="151">
        <v>15.93</v>
      </c>
      <c r="F12" s="151">
        <f t="shared" si="0"/>
        <v>0.48</v>
      </c>
    </row>
    <row r="13" spans="1:12" s="156" customFormat="1" ht="16.5" x14ac:dyDescent="0.25">
      <c r="A13" s="157"/>
      <c r="B13" s="158"/>
      <c r="C13" s="159"/>
      <c r="D13" s="160"/>
      <c r="E13" s="161"/>
      <c r="F13" s="157"/>
    </row>
    <row r="14" spans="1:12" s="156" customFormat="1" ht="16.5" x14ac:dyDescent="0.25">
      <c r="A14" s="162"/>
      <c r="B14" s="163"/>
      <c r="C14" s="164"/>
      <c r="D14" s="165"/>
      <c r="E14" s="166" t="s">
        <v>311</v>
      </c>
      <c r="F14" s="167">
        <f>SUM(F6:F12)</f>
        <v>265.04000000000002</v>
      </c>
    </row>
    <row r="15" spans="1:12" ht="16.5" x14ac:dyDescent="0.25">
      <c r="A15" s="168"/>
      <c r="B15" s="169"/>
      <c r="C15" s="170"/>
      <c r="D15" s="171"/>
      <c r="E15" s="172"/>
    </row>
    <row r="16" spans="1:12" ht="16.5" x14ac:dyDescent="0.25">
      <c r="A16" s="173"/>
      <c r="B16" s="173"/>
      <c r="C16" s="173"/>
      <c r="D16" s="171"/>
      <c r="E16" s="173"/>
    </row>
    <row r="17" spans="1:7" ht="16.5" x14ac:dyDescent="0.25">
      <c r="A17" s="173"/>
      <c r="B17" s="173"/>
      <c r="C17" s="173"/>
      <c r="D17" s="173"/>
      <c r="E17" s="173"/>
    </row>
    <row r="21" spans="1:7" x14ac:dyDescent="0.2">
      <c r="G21" s="174"/>
    </row>
  </sheetData>
  <mergeCells count="2">
    <mergeCell ref="A1:F1"/>
    <mergeCell ref="B3:F3"/>
  </mergeCells>
  <printOptions horizontalCentered="1"/>
  <pageMargins left="0.39370078740157483" right="0.39370078740157483" top="0.39370078740157483" bottom="0.39370078740157483" header="0" footer="0"/>
  <pageSetup paperSize="9" scale="92" orientation="portrait" horizontalDpi="300" verticalDpi="300" r:id="rId1"/>
  <headerFooter alignWithMargins="0">
    <oddHeader>&amp;L&amp;"Arial,Itálico"&amp;11HISTÓRICOS ORÇAMENTÁRIOS</oddHeader>
    <oddFooter>&amp;RPágina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showGridLines="0" view="pageBreakPreview" zoomScaleNormal="100" zoomScaleSheetLayoutView="100" workbookViewId="0">
      <selection activeCell="B3" sqref="B3:F3"/>
    </sheetView>
  </sheetViews>
  <sheetFormatPr defaultRowHeight="12.75" x14ac:dyDescent="0.2"/>
  <cols>
    <col min="1" max="1" width="14.140625" style="143" customWidth="1"/>
    <col min="2" max="2" width="30.140625" style="143" customWidth="1"/>
    <col min="3" max="3" width="8.28515625" style="143" customWidth="1"/>
    <col min="4" max="4" width="10.28515625" style="143" customWidth="1"/>
    <col min="5" max="5" width="10.7109375" style="143" customWidth="1"/>
    <col min="6" max="6" width="9.42578125" style="143" customWidth="1"/>
    <col min="7" max="7" width="61" style="143" bestFit="1" customWidth="1"/>
    <col min="8" max="16384" width="9.140625" style="143"/>
  </cols>
  <sheetData>
    <row r="1" spans="1:7" s="138" customFormat="1" ht="18.75" customHeight="1" x14ac:dyDescent="0.2">
      <c r="A1" s="447" t="s">
        <v>324</v>
      </c>
      <c r="B1" s="447"/>
      <c r="C1" s="447"/>
      <c r="D1" s="447"/>
      <c r="E1" s="447"/>
      <c r="F1" s="447"/>
    </row>
    <row r="2" spans="1:7" s="138" customFormat="1" ht="15" x14ac:dyDescent="0.2">
      <c r="A2" s="175"/>
      <c r="B2" s="175"/>
      <c r="C2" s="175"/>
      <c r="D2" s="175"/>
      <c r="E2" s="175"/>
      <c r="F2" s="157"/>
    </row>
    <row r="3" spans="1:7" ht="46.5" customHeight="1" x14ac:dyDescent="0.25">
      <c r="A3" s="176" t="s">
        <v>325</v>
      </c>
      <c r="B3" s="449" t="s">
        <v>326</v>
      </c>
      <c r="C3" s="449"/>
      <c r="D3" s="449"/>
      <c r="E3" s="449"/>
      <c r="F3" s="449"/>
    </row>
    <row r="4" spans="1:7" ht="12" customHeight="1" x14ac:dyDescent="0.25">
      <c r="A4" s="144"/>
      <c r="B4" s="145"/>
      <c r="C4" s="144"/>
      <c r="D4" s="144"/>
      <c r="E4" s="144"/>
      <c r="F4" s="144"/>
    </row>
    <row r="5" spans="1:7" s="138" customFormat="1" ht="16.5" customHeight="1" x14ac:dyDescent="0.2">
      <c r="A5" s="147" t="s">
        <v>306</v>
      </c>
      <c r="B5" s="148" t="s">
        <v>307</v>
      </c>
      <c r="C5" s="148" t="s">
        <v>308</v>
      </c>
      <c r="D5" s="148" t="s">
        <v>309</v>
      </c>
      <c r="E5" s="148" t="s">
        <v>310</v>
      </c>
      <c r="F5" s="148" t="s">
        <v>311</v>
      </c>
    </row>
    <row r="6" spans="1:7" s="138" customFormat="1" ht="15" x14ac:dyDescent="0.25">
      <c r="A6" s="178" t="s">
        <v>158</v>
      </c>
      <c r="B6" s="179" t="s">
        <v>327</v>
      </c>
      <c r="C6" s="180" t="s">
        <v>120</v>
      </c>
      <c r="D6" s="181">
        <v>10</v>
      </c>
      <c r="E6" s="182">
        <v>0.25</v>
      </c>
      <c r="F6" s="183">
        <f>E6*D6</f>
        <v>2.5</v>
      </c>
    </row>
    <row r="7" spans="1:7" s="138" customFormat="1" ht="15" x14ac:dyDescent="0.25">
      <c r="A7" s="178" t="s">
        <v>158</v>
      </c>
      <c r="B7" s="179" t="s">
        <v>328</v>
      </c>
      <c r="C7" s="180" t="s">
        <v>27</v>
      </c>
      <c r="D7" s="181">
        <v>15</v>
      </c>
      <c r="E7" s="183">
        <v>1.1000000000000001</v>
      </c>
      <c r="F7" s="183">
        <f t="shared" ref="F7:F23" si="0">E7*D7</f>
        <v>16.5</v>
      </c>
    </row>
    <row r="8" spans="1:7" s="138" customFormat="1" ht="15" x14ac:dyDescent="0.25">
      <c r="A8" s="178" t="s">
        <v>158</v>
      </c>
      <c r="B8" s="179" t="s">
        <v>329</v>
      </c>
      <c r="C8" s="180" t="s">
        <v>27</v>
      </c>
      <c r="D8" s="181">
        <v>20</v>
      </c>
      <c r="E8" s="182">
        <v>1.83</v>
      </c>
      <c r="F8" s="183">
        <f t="shared" si="0"/>
        <v>36.6</v>
      </c>
    </row>
    <row r="9" spans="1:7" ht="15" x14ac:dyDescent="0.25">
      <c r="A9" s="178" t="s">
        <v>158</v>
      </c>
      <c r="B9" s="179" t="s">
        <v>330</v>
      </c>
      <c r="C9" s="180" t="s">
        <v>331</v>
      </c>
      <c r="D9" s="181">
        <v>1</v>
      </c>
      <c r="E9" s="162">
        <v>17.62</v>
      </c>
      <c r="F9" s="183">
        <f t="shared" si="0"/>
        <v>17.62</v>
      </c>
    </row>
    <row r="10" spans="1:7" ht="15" x14ac:dyDescent="0.25">
      <c r="A10" s="178" t="s">
        <v>158</v>
      </c>
      <c r="B10" s="179" t="s">
        <v>332</v>
      </c>
      <c r="C10" s="180" t="s">
        <v>27</v>
      </c>
      <c r="D10" s="181">
        <v>50</v>
      </c>
      <c r="E10" s="162">
        <v>2.69</v>
      </c>
      <c r="F10" s="183">
        <f t="shared" si="0"/>
        <v>134.5</v>
      </c>
    </row>
    <row r="11" spans="1:7" ht="15" x14ac:dyDescent="0.25">
      <c r="A11" s="178" t="s">
        <v>333</v>
      </c>
      <c r="B11" s="184" t="s">
        <v>334</v>
      </c>
      <c r="C11" s="151" t="s">
        <v>331</v>
      </c>
      <c r="D11" s="152">
        <v>1</v>
      </c>
      <c r="E11" s="162">
        <f>ROUND(17.42*1.2619,2)</f>
        <v>21.98</v>
      </c>
      <c r="F11" s="183">
        <f t="shared" si="0"/>
        <v>21.98</v>
      </c>
      <c r="G11" s="174"/>
    </row>
    <row r="12" spans="1:7" ht="15" x14ac:dyDescent="0.25">
      <c r="A12" s="178" t="s">
        <v>158</v>
      </c>
      <c r="B12" s="184" t="s">
        <v>335</v>
      </c>
      <c r="C12" s="151" t="s">
        <v>120</v>
      </c>
      <c r="D12" s="152">
        <v>8</v>
      </c>
      <c r="E12" s="162">
        <v>1.1499999999999999</v>
      </c>
      <c r="F12" s="183">
        <f t="shared" si="0"/>
        <v>9.1999999999999993</v>
      </c>
    </row>
    <row r="13" spans="1:7" ht="30" x14ac:dyDescent="0.25">
      <c r="A13" s="178" t="s">
        <v>158</v>
      </c>
      <c r="B13" s="184" t="s">
        <v>336</v>
      </c>
      <c r="C13" s="151" t="s">
        <v>27</v>
      </c>
      <c r="D13" s="152">
        <v>3</v>
      </c>
      <c r="E13" s="162">
        <f>6.57/3</f>
        <v>2.19</v>
      </c>
      <c r="F13" s="183">
        <f t="shared" si="0"/>
        <v>6.57</v>
      </c>
    </row>
    <row r="14" spans="1:7" s="156" customFormat="1" ht="16.5" x14ac:dyDescent="0.25">
      <c r="A14" s="178" t="s">
        <v>158</v>
      </c>
      <c r="B14" s="179" t="s">
        <v>337</v>
      </c>
      <c r="C14" s="180" t="s">
        <v>331</v>
      </c>
      <c r="D14" s="181">
        <v>6</v>
      </c>
      <c r="E14" s="162">
        <v>0.87</v>
      </c>
      <c r="F14" s="183">
        <f t="shared" si="0"/>
        <v>5.22</v>
      </c>
    </row>
    <row r="15" spans="1:7" s="156" customFormat="1" ht="30" x14ac:dyDescent="0.25">
      <c r="A15" s="178" t="s">
        <v>158</v>
      </c>
      <c r="B15" s="185" t="s">
        <v>338</v>
      </c>
      <c r="C15" s="151" t="s">
        <v>331</v>
      </c>
      <c r="D15" s="152">
        <v>4</v>
      </c>
      <c r="E15" s="162">
        <v>2.37</v>
      </c>
      <c r="F15" s="183">
        <f t="shared" si="0"/>
        <v>9.48</v>
      </c>
    </row>
    <row r="16" spans="1:7" s="156" customFormat="1" ht="16.5" x14ac:dyDescent="0.25">
      <c r="A16" s="178" t="s">
        <v>158</v>
      </c>
      <c r="B16" s="185" t="s">
        <v>339</v>
      </c>
      <c r="C16" s="151" t="s">
        <v>27</v>
      </c>
      <c r="D16" s="152">
        <v>22</v>
      </c>
      <c r="E16" s="186">
        <v>10</v>
      </c>
      <c r="F16" s="183">
        <f t="shared" si="0"/>
        <v>220</v>
      </c>
    </row>
    <row r="17" spans="1:7" ht="30" x14ac:dyDescent="0.25">
      <c r="A17" s="178" t="s">
        <v>158</v>
      </c>
      <c r="B17" s="184" t="s">
        <v>340</v>
      </c>
      <c r="C17" s="151" t="s">
        <v>331</v>
      </c>
      <c r="D17" s="152">
        <v>1</v>
      </c>
      <c r="E17" s="162">
        <f>ROUND(8.66*1.2619,2)</f>
        <v>10.93</v>
      </c>
      <c r="F17" s="183">
        <f t="shared" si="0"/>
        <v>10.93</v>
      </c>
    </row>
    <row r="18" spans="1:7" ht="15" x14ac:dyDescent="0.25">
      <c r="A18" s="178" t="s">
        <v>158</v>
      </c>
      <c r="B18" s="185" t="s">
        <v>341</v>
      </c>
      <c r="C18" s="151" t="s">
        <v>331</v>
      </c>
      <c r="D18" s="152">
        <v>5</v>
      </c>
      <c r="E18" s="162">
        <f>ROUND(8.36*1.2619,2)</f>
        <v>10.55</v>
      </c>
      <c r="F18" s="183">
        <f t="shared" si="0"/>
        <v>52.75</v>
      </c>
    </row>
    <row r="19" spans="1:7" ht="15" x14ac:dyDescent="0.25">
      <c r="A19" s="178" t="s">
        <v>158</v>
      </c>
      <c r="B19" s="184" t="s">
        <v>342</v>
      </c>
      <c r="C19" s="151" t="s">
        <v>331</v>
      </c>
      <c r="D19" s="152">
        <v>6</v>
      </c>
      <c r="E19" s="162">
        <v>15.15</v>
      </c>
      <c r="F19" s="183">
        <f t="shared" si="0"/>
        <v>90.9</v>
      </c>
    </row>
    <row r="20" spans="1:7" ht="30" x14ac:dyDescent="0.25">
      <c r="A20" s="178" t="s">
        <v>158</v>
      </c>
      <c r="B20" s="184" t="s">
        <v>343</v>
      </c>
      <c r="C20" s="151" t="s">
        <v>120</v>
      </c>
      <c r="D20" s="152">
        <v>1</v>
      </c>
      <c r="E20" s="162">
        <v>6.49</v>
      </c>
      <c r="F20" s="183">
        <f t="shared" si="0"/>
        <v>6.49</v>
      </c>
      <c r="G20" s="174"/>
    </row>
    <row r="21" spans="1:7" ht="15" x14ac:dyDescent="0.25">
      <c r="A21" s="178" t="s">
        <v>344</v>
      </c>
      <c r="B21" s="185" t="s">
        <v>345</v>
      </c>
      <c r="C21" s="151" t="s">
        <v>331</v>
      </c>
      <c r="D21" s="152">
        <v>1</v>
      </c>
      <c r="E21" s="162">
        <f>ROUND(37.34*1.2619,2)</f>
        <v>47.12</v>
      </c>
      <c r="F21" s="183">
        <f t="shared" si="0"/>
        <v>47.12</v>
      </c>
      <c r="G21" s="174"/>
    </row>
    <row r="22" spans="1:7" ht="15" x14ac:dyDescent="0.25">
      <c r="A22" s="154" t="s">
        <v>346</v>
      </c>
      <c r="B22" s="184" t="s">
        <v>347</v>
      </c>
      <c r="C22" s="151" t="s">
        <v>348</v>
      </c>
      <c r="D22" s="152">
        <v>8</v>
      </c>
      <c r="E22" s="162">
        <f>ROUND((5.34/1.309)*1.2619,2)</f>
        <v>5.15</v>
      </c>
      <c r="F22" s="183">
        <f t="shared" si="0"/>
        <v>41.2</v>
      </c>
      <c r="G22" s="174"/>
    </row>
    <row r="23" spans="1:7" ht="15" x14ac:dyDescent="0.25">
      <c r="A23" s="154" t="s">
        <v>349</v>
      </c>
      <c r="B23" s="184" t="s">
        <v>350</v>
      </c>
      <c r="C23" s="151" t="s">
        <v>348</v>
      </c>
      <c r="D23" s="152">
        <v>9</v>
      </c>
      <c r="E23" s="186">
        <f>ROUND((6.33/1.309)*1.2619,2)</f>
        <v>6.1</v>
      </c>
      <c r="F23" s="183">
        <f t="shared" si="0"/>
        <v>54.9</v>
      </c>
      <c r="G23" s="174"/>
    </row>
    <row r="24" spans="1:7" ht="15" x14ac:dyDescent="0.25">
      <c r="A24" s="154"/>
      <c r="B24" s="184"/>
      <c r="C24" s="151"/>
      <c r="D24" s="152"/>
      <c r="E24" s="187"/>
      <c r="F24" s="157"/>
      <c r="G24" s="174"/>
    </row>
    <row r="25" spans="1:7" ht="15" x14ac:dyDescent="0.2">
      <c r="A25" s="188"/>
      <c r="B25" s="163"/>
      <c r="C25" s="164"/>
      <c r="D25" s="450" t="s">
        <v>311</v>
      </c>
      <c r="E25" s="450"/>
      <c r="F25" s="190">
        <f>SUM(F6:F23)</f>
        <v>784.45999999999992</v>
      </c>
    </row>
    <row r="26" spans="1:7" ht="15" x14ac:dyDescent="0.2">
      <c r="A26" s="188"/>
      <c r="B26" s="163"/>
      <c r="C26" s="164"/>
      <c r="D26" s="182"/>
      <c r="E26" s="183"/>
    </row>
    <row r="27" spans="1:7" ht="15" x14ac:dyDescent="0.25">
      <c r="A27" s="191"/>
      <c r="B27" s="163"/>
      <c r="C27" s="164"/>
      <c r="D27" s="182"/>
      <c r="E27" s="183"/>
    </row>
    <row r="28" spans="1:7" ht="15" x14ac:dyDescent="0.2">
      <c r="A28" s="188"/>
      <c r="B28" s="163"/>
      <c r="C28" s="164"/>
      <c r="D28" s="182"/>
      <c r="E28" s="183"/>
    </row>
    <row r="29" spans="1:7" ht="16.5" x14ac:dyDescent="0.2">
      <c r="A29" s="192"/>
      <c r="B29" s="193"/>
      <c r="C29" s="194"/>
      <c r="D29" s="192"/>
      <c r="E29" s="195"/>
    </row>
    <row r="30" spans="1:7" ht="16.5" x14ac:dyDescent="0.25">
      <c r="A30" s="196"/>
      <c r="B30" s="197"/>
      <c r="C30" s="198"/>
      <c r="D30" s="196"/>
      <c r="E30" s="199"/>
    </row>
    <row r="31" spans="1:7" ht="16.5" x14ac:dyDescent="0.25">
      <c r="A31" s="196"/>
      <c r="B31" s="197"/>
      <c r="C31" s="198"/>
      <c r="D31" s="196"/>
      <c r="E31" s="199"/>
    </row>
    <row r="32" spans="1:7" ht="16.5" x14ac:dyDescent="0.25">
      <c r="A32" s="196"/>
      <c r="B32" s="197"/>
      <c r="C32" s="198"/>
      <c r="D32" s="196"/>
      <c r="E32" s="199"/>
    </row>
    <row r="33" spans="1:5" ht="16.5" x14ac:dyDescent="0.25">
      <c r="A33" s="196"/>
      <c r="B33" s="197"/>
      <c r="C33" s="198"/>
      <c r="D33" s="196"/>
      <c r="E33" s="199"/>
    </row>
    <row r="34" spans="1:5" ht="16.5" x14ac:dyDescent="0.25">
      <c r="A34" s="196"/>
      <c r="B34" s="197"/>
      <c r="C34" s="198"/>
      <c r="D34" s="196"/>
      <c r="E34" s="199"/>
    </row>
    <row r="35" spans="1:5" ht="16.5" x14ac:dyDescent="0.25">
      <c r="A35" s="196"/>
      <c r="B35" s="197"/>
      <c r="C35" s="198"/>
      <c r="D35" s="196"/>
      <c r="E35" s="199"/>
    </row>
    <row r="36" spans="1:5" ht="16.5" x14ac:dyDescent="0.2">
      <c r="A36" s="192"/>
      <c r="B36" s="193"/>
      <c r="C36" s="200"/>
      <c r="D36" s="192"/>
      <c r="E36" s="195"/>
    </row>
    <row r="37" spans="1:5" ht="16.5" x14ac:dyDescent="0.25">
      <c r="A37" s="192"/>
      <c r="B37" s="197"/>
      <c r="C37" s="198"/>
      <c r="D37" s="196"/>
      <c r="E37" s="199"/>
    </row>
    <row r="38" spans="1:5" ht="16.5" x14ac:dyDescent="0.25">
      <c r="A38" s="192"/>
      <c r="B38" s="197"/>
      <c r="C38" s="198"/>
      <c r="D38" s="196"/>
      <c r="E38" s="199"/>
    </row>
    <row r="39" spans="1:5" ht="16.5" x14ac:dyDescent="0.25">
      <c r="A39" s="192"/>
      <c r="B39" s="197"/>
      <c r="C39" s="198"/>
      <c r="D39" s="196"/>
      <c r="E39" s="199"/>
    </row>
    <row r="40" spans="1:5" ht="16.5" x14ac:dyDescent="0.25">
      <c r="A40" s="192"/>
      <c r="B40" s="197"/>
      <c r="C40" s="198"/>
      <c r="D40" s="196"/>
      <c r="E40" s="199"/>
    </row>
    <row r="41" spans="1:5" ht="16.5" x14ac:dyDescent="0.25">
      <c r="A41" s="192"/>
      <c r="B41" s="197"/>
      <c r="C41" s="198"/>
      <c r="D41" s="196"/>
      <c r="E41" s="199"/>
    </row>
    <row r="42" spans="1:5" ht="16.5" x14ac:dyDescent="0.25">
      <c r="A42" s="196"/>
      <c r="B42" s="197"/>
      <c r="C42" s="198"/>
      <c r="D42" s="196"/>
      <c r="E42" s="199"/>
    </row>
    <row r="43" spans="1:5" ht="16.5" x14ac:dyDescent="0.2">
      <c r="A43" s="192"/>
      <c r="B43" s="193"/>
      <c r="C43" s="194"/>
      <c r="D43" s="192"/>
      <c r="E43" s="195"/>
    </row>
    <row r="44" spans="1:5" ht="16.5" x14ac:dyDescent="0.2">
      <c r="A44" s="192"/>
      <c r="B44" s="193"/>
      <c r="C44" s="194"/>
      <c r="D44" s="192"/>
      <c r="E44" s="195"/>
    </row>
    <row r="45" spans="1:5" ht="16.5" x14ac:dyDescent="0.2">
      <c r="A45" s="192"/>
      <c r="B45" s="193"/>
      <c r="C45" s="194"/>
      <c r="D45" s="192"/>
      <c r="E45" s="195"/>
    </row>
    <row r="46" spans="1:5" ht="16.5" x14ac:dyDescent="0.2">
      <c r="A46" s="192"/>
      <c r="B46" s="193"/>
      <c r="C46" s="194"/>
      <c r="D46" s="192"/>
      <c r="E46" s="195"/>
    </row>
    <row r="47" spans="1:5" ht="16.5" x14ac:dyDescent="0.2">
      <c r="A47" s="192"/>
      <c r="B47" s="193"/>
      <c r="C47" s="194"/>
      <c r="D47" s="192"/>
      <c r="E47" s="195"/>
    </row>
    <row r="48" spans="1:5" ht="16.5" x14ac:dyDescent="0.2">
      <c r="A48" s="192"/>
      <c r="B48" s="193"/>
      <c r="C48" s="194"/>
      <c r="D48" s="192"/>
      <c r="E48" s="195"/>
    </row>
    <row r="49" spans="1:5" ht="16.5" x14ac:dyDescent="0.2">
      <c r="A49" s="192"/>
      <c r="B49" s="193"/>
      <c r="C49" s="194"/>
      <c r="D49" s="192"/>
      <c r="E49" s="195"/>
    </row>
    <row r="50" spans="1:5" ht="16.5" x14ac:dyDescent="0.25">
      <c r="A50" s="192"/>
      <c r="B50" s="193"/>
      <c r="C50" s="194"/>
      <c r="D50" s="196"/>
      <c r="E50" s="201"/>
    </row>
    <row r="51" spans="1:5" ht="16.5" x14ac:dyDescent="0.25">
      <c r="A51" s="192"/>
      <c r="B51" s="193"/>
      <c r="C51" s="194"/>
      <c r="D51" s="196"/>
      <c r="E51" s="201"/>
    </row>
    <row r="52" spans="1:5" ht="16.5" x14ac:dyDescent="0.2">
      <c r="A52" s="192"/>
      <c r="B52" s="193"/>
      <c r="C52" s="194"/>
      <c r="D52" s="192"/>
      <c r="E52" s="195"/>
    </row>
    <row r="53" spans="1:5" ht="16.5" x14ac:dyDescent="0.25">
      <c r="A53" s="192"/>
      <c r="B53" s="193"/>
      <c r="C53" s="194"/>
      <c r="D53" s="196"/>
      <c r="E53" s="201"/>
    </row>
    <row r="54" spans="1:5" ht="16.5" x14ac:dyDescent="0.25">
      <c r="A54" s="196"/>
      <c r="B54" s="197"/>
      <c r="C54" s="198"/>
      <c r="D54" s="196"/>
      <c r="E54" s="199"/>
    </row>
    <row r="55" spans="1:5" ht="16.5" x14ac:dyDescent="0.25">
      <c r="A55" s="196"/>
      <c r="B55" s="197"/>
      <c r="C55" s="198"/>
      <c r="D55" s="196"/>
      <c r="E55" s="199"/>
    </row>
    <row r="56" spans="1:5" ht="16.5" x14ac:dyDescent="0.25">
      <c r="A56" s="196"/>
      <c r="B56" s="197"/>
      <c r="C56" s="198"/>
      <c r="D56" s="196"/>
      <c r="E56" s="199"/>
    </row>
    <row r="57" spans="1:5" ht="16.5" x14ac:dyDescent="0.25">
      <c r="A57" s="196"/>
      <c r="B57" s="197"/>
      <c r="C57" s="198"/>
      <c r="D57" s="196"/>
      <c r="E57" s="199"/>
    </row>
    <row r="58" spans="1:5" ht="16.5" x14ac:dyDescent="0.25">
      <c r="A58" s="196"/>
      <c r="B58" s="197"/>
      <c r="C58" s="198"/>
      <c r="D58" s="196"/>
      <c r="E58" s="199"/>
    </row>
    <row r="59" spans="1:5" ht="16.5" x14ac:dyDescent="0.25">
      <c r="A59" s="196"/>
      <c r="B59" s="197"/>
      <c r="C59" s="198"/>
      <c r="D59" s="196"/>
      <c r="E59" s="199"/>
    </row>
    <row r="60" spans="1:5" ht="16.5" x14ac:dyDescent="0.25">
      <c r="A60" s="192"/>
      <c r="B60" s="193"/>
      <c r="C60" s="194"/>
      <c r="D60" s="196"/>
      <c r="E60" s="199"/>
    </row>
    <row r="61" spans="1:5" ht="16.5" x14ac:dyDescent="0.25">
      <c r="A61" s="196"/>
      <c r="B61" s="197"/>
      <c r="C61" s="198"/>
      <c r="D61" s="196"/>
      <c r="E61" s="199"/>
    </row>
    <row r="62" spans="1:5" ht="16.5" x14ac:dyDescent="0.25">
      <c r="A62" s="196"/>
      <c r="B62" s="197"/>
      <c r="C62" s="198"/>
      <c r="D62" s="196"/>
      <c r="E62" s="199"/>
    </row>
    <row r="63" spans="1:5" ht="16.5" x14ac:dyDescent="0.25">
      <c r="A63" s="196"/>
      <c r="B63" s="197"/>
      <c r="C63" s="198"/>
      <c r="D63" s="196"/>
      <c r="E63" s="199"/>
    </row>
    <row r="64" spans="1:5" ht="16.5" x14ac:dyDescent="0.25">
      <c r="A64" s="196"/>
      <c r="B64" s="197"/>
      <c r="C64" s="198"/>
      <c r="D64" s="196"/>
      <c r="E64" s="199"/>
    </row>
    <row r="65" spans="1:5" ht="16.5" x14ac:dyDescent="0.25">
      <c r="A65" s="196"/>
      <c r="B65" s="197"/>
      <c r="C65" s="198"/>
      <c r="D65" s="196"/>
      <c r="E65" s="199"/>
    </row>
    <row r="66" spans="1:5" ht="16.5" x14ac:dyDescent="0.25">
      <c r="A66" s="196"/>
      <c r="B66" s="197"/>
      <c r="C66" s="198"/>
      <c r="D66" s="196"/>
      <c r="E66" s="199"/>
    </row>
    <row r="67" spans="1:5" ht="16.5" x14ac:dyDescent="0.25">
      <c r="A67" s="196"/>
      <c r="B67" s="197"/>
      <c r="C67" s="198"/>
      <c r="D67" s="196"/>
      <c r="E67" s="199"/>
    </row>
    <row r="68" spans="1:5" ht="16.5" x14ac:dyDescent="0.25">
      <c r="A68" s="192"/>
      <c r="B68" s="193"/>
      <c r="C68" s="202"/>
      <c r="D68" s="196"/>
      <c r="E68" s="199"/>
    </row>
    <row r="69" spans="1:5" ht="16.5" customHeight="1" x14ac:dyDescent="0.25">
      <c r="A69" s="196"/>
      <c r="B69" s="197"/>
      <c r="C69" s="198"/>
      <c r="D69" s="196"/>
      <c r="E69" s="199"/>
    </row>
    <row r="70" spans="1:5" ht="16.5" customHeight="1" x14ac:dyDescent="0.2">
      <c r="A70" s="192"/>
      <c r="B70" s="193"/>
      <c r="C70" s="203"/>
      <c r="D70" s="192"/>
      <c r="E70" s="195"/>
    </row>
    <row r="71" spans="1:5" ht="16.5" customHeight="1" x14ac:dyDescent="0.2">
      <c r="A71" s="192"/>
      <c r="B71" s="193"/>
      <c r="C71" s="203"/>
      <c r="D71" s="192"/>
      <c r="E71" s="195"/>
    </row>
    <row r="72" spans="1:5" ht="16.5" customHeight="1" x14ac:dyDescent="0.2">
      <c r="A72" s="192"/>
      <c r="B72" s="193"/>
      <c r="C72" s="194"/>
      <c r="D72" s="192"/>
      <c r="E72" s="195"/>
    </row>
    <row r="73" spans="1:5" ht="16.5" customHeight="1" x14ac:dyDescent="0.2">
      <c r="A73" s="192"/>
      <c r="B73" s="193"/>
      <c r="C73" s="194"/>
      <c r="D73" s="192"/>
      <c r="E73" s="195"/>
    </row>
    <row r="74" spans="1:5" ht="16.5" customHeight="1" x14ac:dyDescent="0.2">
      <c r="A74" s="192"/>
      <c r="B74" s="193"/>
      <c r="C74" s="194"/>
      <c r="D74" s="192"/>
      <c r="E74" s="195"/>
    </row>
    <row r="75" spans="1:5" ht="16.5" customHeight="1" x14ac:dyDescent="0.2">
      <c r="A75" s="192"/>
      <c r="B75" s="193"/>
      <c r="C75" s="194"/>
      <c r="D75" s="192"/>
      <c r="E75" s="195"/>
    </row>
    <row r="76" spans="1:5" ht="16.5" customHeight="1" x14ac:dyDescent="0.2">
      <c r="A76" s="192"/>
      <c r="B76" s="193"/>
      <c r="C76" s="194"/>
      <c r="D76" s="192"/>
      <c r="E76" s="195"/>
    </row>
    <row r="77" spans="1:5" ht="16.5" customHeight="1" x14ac:dyDescent="0.2">
      <c r="A77" s="192"/>
      <c r="B77" s="193"/>
      <c r="C77" s="194"/>
      <c r="D77" s="192"/>
      <c r="E77" s="195"/>
    </row>
    <row r="78" spans="1:5" ht="16.5" x14ac:dyDescent="0.2">
      <c r="A78" s="204"/>
      <c r="B78" s="205"/>
      <c r="C78" s="206"/>
      <c r="D78" s="204"/>
      <c r="E78" s="207"/>
    </row>
    <row r="79" spans="1:5" ht="16.5" x14ac:dyDescent="0.2">
      <c r="A79" s="204"/>
      <c r="B79" s="451"/>
      <c r="C79" s="451"/>
      <c r="D79" s="451"/>
      <c r="E79" s="207"/>
    </row>
    <row r="80" spans="1:5" ht="15" x14ac:dyDescent="0.2">
      <c r="A80" s="188"/>
      <c r="B80" s="163"/>
      <c r="C80" s="208"/>
      <c r="D80" s="182"/>
      <c r="E80" s="183"/>
    </row>
  </sheetData>
  <mergeCells count="4">
    <mergeCell ref="A1:F1"/>
    <mergeCell ref="B3:F3"/>
    <mergeCell ref="D25:E25"/>
    <mergeCell ref="B79:D79"/>
  </mergeCells>
  <printOptions horizontalCentered="1"/>
  <pageMargins left="0.19685039370078741" right="0.11811023622047245" top="0.35433070866141736" bottom="0.39370078740157483" header="0" footer="0"/>
  <pageSetup paperSize="9" scale="85" orientation="portrait" r:id="rId1"/>
  <headerFooter alignWithMargins="0">
    <oddHeader>&amp;L&amp;"Arial,Itálico"&amp;11HISTÓRICOS ORÇAMENTÁRIOS</oddHeader>
    <oddFooter>&amp;RPágina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showGridLines="0" view="pageBreakPreview" topLeftCell="A37" zoomScaleNormal="75" zoomScaleSheetLayoutView="100" workbookViewId="0">
      <selection activeCell="B17" activeCellId="1" sqref="F14 B17"/>
    </sheetView>
  </sheetViews>
  <sheetFormatPr defaultRowHeight="12.75" x14ac:dyDescent="0.2"/>
  <cols>
    <col min="1" max="1" width="12.5703125" style="143" customWidth="1"/>
    <col min="2" max="2" width="50.42578125" style="143" customWidth="1"/>
    <col min="3" max="3" width="9.140625" style="143" customWidth="1"/>
    <col min="4" max="4" width="9.42578125" style="143" customWidth="1"/>
    <col min="5" max="5" width="10.85546875" style="143" customWidth="1"/>
    <col min="6" max="6" width="11.5703125" style="143" customWidth="1"/>
    <col min="7" max="7" width="11.42578125" style="143" customWidth="1"/>
    <col min="8" max="16384" width="9.140625" style="143"/>
  </cols>
  <sheetData>
    <row r="1" spans="1:7" s="138" customFormat="1" ht="18.75" customHeight="1" x14ac:dyDescent="0.2">
      <c r="A1" s="447" t="s">
        <v>351</v>
      </c>
      <c r="B1" s="447"/>
      <c r="C1" s="447"/>
      <c r="D1" s="447"/>
      <c r="E1" s="447"/>
    </row>
    <row r="2" spans="1:7" s="138" customFormat="1" ht="15" customHeight="1" x14ac:dyDescent="0.2">
      <c r="C2" s="139"/>
      <c r="D2" s="140"/>
    </row>
    <row r="3" spans="1:7" s="138" customFormat="1" ht="37.5" customHeight="1" x14ac:dyDescent="0.2">
      <c r="A3" s="148" t="s">
        <v>352</v>
      </c>
      <c r="B3" s="448" t="s">
        <v>353</v>
      </c>
      <c r="C3" s="448"/>
      <c r="D3" s="448"/>
      <c r="E3" s="448"/>
      <c r="F3" s="448"/>
      <c r="G3" s="209"/>
    </row>
    <row r="4" spans="1:7" ht="15" x14ac:dyDescent="0.2">
      <c r="A4" s="448"/>
      <c r="B4" s="448"/>
      <c r="C4" s="448"/>
      <c r="D4" s="448"/>
      <c r="E4" s="448"/>
      <c r="F4" s="448"/>
      <c r="G4" s="448"/>
    </row>
    <row r="5" spans="1:7" s="138" customFormat="1" ht="16.5" customHeight="1" x14ac:dyDescent="0.2">
      <c r="A5" s="147" t="s">
        <v>306</v>
      </c>
      <c r="B5" s="210" t="s">
        <v>307</v>
      </c>
      <c r="C5" s="148" t="s">
        <v>308</v>
      </c>
      <c r="D5" s="148" t="s">
        <v>309</v>
      </c>
      <c r="E5" s="148" t="s">
        <v>310</v>
      </c>
      <c r="F5" s="148" t="s">
        <v>311</v>
      </c>
      <c r="G5" s="209"/>
    </row>
    <row r="6" spans="1:7" ht="37.5" customHeight="1" x14ac:dyDescent="0.2">
      <c r="A6" s="163" t="s">
        <v>354</v>
      </c>
      <c r="B6" s="211" t="s">
        <v>355</v>
      </c>
      <c r="C6" s="151" t="s">
        <v>331</v>
      </c>
      <c r="D6" s="212">
        <v>1</v>
      </c>
      <c r="E6" s="213">
        <f>ROUND(13.97*1.2619,2)</f>
        <v>17.63</v>
      </c>
      <c r="F6" s="213">
        <f t="shared" ref="F6:F13" si="0">ROUND(D6*E6,2)</f>
        <v>17.63</v>
      </c>
      <c r="G6" s="146"/>
    </row>
    <row r="7" spans="1:7" ht="30" x14ac:dyDescent="0.2">
      <c r="A7" s="163" t="s">
        <v>356</v>
      </c>
      <c r="B7" s="211" t="s">
        <v>357</v>
      </c>
      <c r="C7" s="151" t="s">
        <v>331</v>
      </c>
      <c r="D7" s="212">
        <v>1</v>
      </c>
      <c r="E7" s="213">
        <f>ROUND(32.61*1.2619,2)</f>
        <v>41.15</v>
      </c>
      <c r="F7" s="213">
        <f t="shared" si="0"/>
        <v>41.15</v>
      </c>
      <c r="G7" s="146"/>
    </row>
    <row r="8" spans="1:7" ht="30" x14ac:dyDescent="0.2">
      <c r="A8" s="163" t="s">
        <v>358</v>
      </c>
      <c r="B8" s="211" t="s">
        <v>359</v>
      </c>
      <c r="C8" s="151" t="s">
        <v>331</v>
      </c>
      <c r="D8" s="212">
        <v>1</v>
      </c>
      <c r="E8" s="213">
        <f>ROUND(53.13*1.2619,2)</f>
        <v>67.040000000000006</v>
      </c>
      <c r="F8" s="213">
        <f t="shared" si="0"/>
        <v>67.040000000000006</v>
      </c>
      <c r="G8" s="146"/>
    </row>
    <row r="9" spans="1:7" ht="30" x14ac:dyDescent="0.2">
      <c r="A9" s="163" t="s">
        <v>360</v>
      </c>
      <c r="B9" s="211" t="s">
        <v>361</v>
      </c>
      <c r="C9" s="151" t="s">
        <v>331</v>
      </c>
      <c r="D9" s="212">
        <v>1</v>
      </c>
      <c r="E9" s="213">
        <f>ROUND(89.83*1.2619,2)</f>
        <v>113.36</v>
      </c>
      <c r="F9" s="213">
        <f t="shared" si="0"/>
        <v>113.36</v>
      </c>
      <c r="G9" s="146"/>
    </row>
    <row r="10" spans="1:7" ht="30" x14ac:dyDescent="0.2">
      <c r="A10" s="163" t="s">
        <v>362</v>
      </c>
      <c r="B10" s="211" t="s">
        <v>363</v>
      </c>
      <c r="C10" s="151" t="s">
        <v>331</v>
      </c>
      <c r="D10" s="212">
        <v>1</v>
      </c>
      <c r="E10" s="213">
        <f>ROUND(13.07*1.2619,2)</f>
        <v>16.489999999999998</v>
      </c>
      <c r="F10" s="213">
        <f t="shared" si="0"/>
        <v>16.489999999999998</v>
      </c>
      <c r="G10" s="146"/>
    </row>
    <row r="11" spans="1:7" ht="30" x14ac:dyDescent="0.2">
      <c r="A11" s="163" t="s">
        <v>364</v>
      </c>
      <c r="B11" s="211" t="s">
        <v>365</v>
      </c>
      <c r="C11" s="151" t="s">
        <v>331</v>
      </c>
      <c r="D11" s="212">
        <v>1</v>
      </c>
      <c r="E11" s="213">
        <f>ROUND(28.78*1.2619,2)</f>
        <v>36.32</v>
      </c>
      <c r="F11" s="213">
        <f t="shared" si="0"/>
        <v>36.32</v>
      </c>
      <c r="G11" s="146"/>
    </row>
    <row r="12" spans="1:7" ht="45" x14ac:dyDescent="0.2">
      <c r="A12" s="163" t="s">
        <v>366</v>
      </c>
      <c r="B12" s="211" t="s">
        <v>367</v>
      </c>
      <c r="C12" s="151" t="s">
        <v>331</v>
      </c>
      <c r="D12" s="212">
        <v>3</v>
      </c>
      <c r="E12" s="213">
        <f>ROUND(10.88*1.2619,2)</f>
        <v>13.73</v>
      </c>
      <c r="F12" s="213">
        <f t="shared" si="0"/>
        <v>41.19</v>
      </c>
      <c r="G12" s="146"/>
    </row>
    <row r="13" spans="1:7" ht="15" x14ac:dyDescent="0.25">
      <c r="A13" s="151" t="s">
        <v>158</v>
      </c>
      <c r="B13" s="214" t="s">
        <v>368</v>
      </c>
      <c r="C13" s="151" t="s">
        <v>331</v>
      </c>
      <c r="D13" s="212">
        <v>1</v>
      </c>
      <c r="E13" s="213">
        <f>ROUND(83*1.2619,2)</f>
        <v>104.74</v>
      </c>
      <c r="F13" s="213">
        <f t="shared" si="0"/>
        <v>104.74</v>
      </c>
      <c r="G13" s="146"/>
    </row>
    <row r="14" spans="1:7" ht="15" x14ac:dyDescent="0.25">
      <c r="A14" s="151" t="s">
        <v>158</v>
      </c>
      <c r="B14" s="214" t="s">
        <v>369</v>
      </c>
      <c r="C14" s="151" t="s">
        <v>331</v>
      </c>
      <c r="D14" s="212">
        <v>1</v>
      </c>
      <c r="E14" s="213">
        <f>ROUND(2.5*1.2619,2)</f>
        <v>3.15</v>
      </c>
      <c r="F14" s="213">
        <f>ROUND(D14*E14,2)</f>
        <v>3.15</v>
      </c>
      <c r="G14" s="146"/>
    </row>
    <row r="15" spans="1:7" ht="15" x14ac:dyDescent="0.25">
      <c r="A15" s="151" t="s">
        <v>158</v>
      </c>
      <c r="B15" s="214" t="s">
        <v>370</v>
      </c>
      <c r="C15" s="162" t="s">
        <v>331</v>
      </c>
      <c r="D15" s="212">
        <v>1</v>
      </c>
      <c r="E15" s="213">
        <f>ROUND(3*1.2619,2)</f>
        <v>3.79</v>
      </c>
      <c r="F15" s="213">
        <f>ROUND(D15*E15,2)</f>
        <v>3.79</v>
      </c>
      <c r="G15" s="146"/>
    </row>
    <row r="16" spans="1:7" ht="15" x14ac:dyDescent="0.25">
      <c r="A16" s="162" t="s">
        <v>158</v>
      </c>
      <c r="B16" s="214" t="s">
        <v>371</v>
      </c>
      <c r="C16" s="162" t="s">
        <v>331</v>
      </c>
      <c r="D16" s="212">
        <v>4</v>
      </c>
      <c r="E16" s="213">
        <f>ROUND(4*1.2619,2)</f>
        <v>5.05</v>
      </c>
      <c r="F16" s="213">
        <f>ROUND(D16*E16,2)</f>
        <v>20.2</v>
      </c>
      <c r="G16" s="146"/>
    </row>
    <row r="17" spans="1:7" ht="45" x14ac:dyDescent="0.2">
      <c r="A17" s="163" t="s">
        <v>372</v>
      </c>
      <c r="B17" s="211" t="s">
        <v>373</v>
      </c>
      <c r="C17" s="151" t="s">
        <v>27</v>
      </c>
      <c r="D17" s="212">
        <v>6</v>
      </c>
      <c r="E17" s="213">
        <f>ROUND(28.12*1.2619,2)</f>
        <v>35.479999999999997</v>
      </c>
      <c r="F17" s="213">
        <f t="shared" ref="F17:F36" si="1">ROUND(D17*E17,2)</f>
        <v>212.88</v>
      </c>
      <c r="G17" s="146"/>
    </row>
    <row r="18" spans="1:7" ht="51" customHeight="1" x14ac:dyDescent="0.2">
      <c r="A18" s="163" t="s">
        <v>374</v>
      </c>
      <c r="B18" s="211" t="s">
        <v>375</v>
      </c>
      <c r="C18" s="151" t="s">
        <v>27</v>
      </c>
      <c r="D18" s="212">
        <v>12</v>
      </c>
      <c r="E18" s="213">
        <f>ROUND(36.69*1.2619,2)</f>
        <v>46.3</v>
      </c>
      <c r="F18" s="213">
        <f t="shared" si="1"/>
        <v>555.6</v>
      </c>
      <c r="G18" s="146"/>
    </row>
    <row r="19" spans="1:7" ht="30" x14ac:dyDescent="0.2">
      <c r="A19" s="163" t="s">
        <v>376</v>
      </c>
      <c r="B19" s="211" t="s">
        <v>377</v>
      </c>
      <c r="C19" s="151" t="s">
        <v>331</v>
      </c>
      <c r="D19" s="212">
        <v>1</v>
      </c>
      <c r="E19" s="213">
        <f>ROUND(38.85*1.2619,2)</f>
        <v>49.02</v>
      </c>
      <c r="F19" s="213">
        <f t="shared" si="1"/>
        <v>49.02</v>
      </c>
      <c r="G19" s="146"/>
    </row>
    <row r="20" spans="1:7" ht="30" x14ac:dyDescent="0.2">
      <c r="A20" s="163" t="s">
        <v>378</v>
      </c>
      <c r="B20" s="211" t="s">
        <v>379</v>
      </c>
      <c r="C20" s="151" t="s">
        <v>331</v>
      </c>
      <c r="D20" s="212">
        <v>2</v>
      </c>
      <c r="E20" s="213">
        <f>ROUND(77.93*1.2619,2)</f>
        <v>98.34</v>
      </c>
      <c r="F20" s="213">
        <f t="shared" si="1"/>
        <v>196.68</v>
      </c>
      <c r="G20" s="146"/>
    </row>
    <row r="21" spans="1:7" ht="33.75" customHeight="1" x14ac:dyDescent="0.2">
      <c r="A21" s="163" t="s">
        <v>380</v>
      </c>
      <c r="B21" s="211" t="s">
        <v>381</v>
      </c>
      <c r="C21" s="151" t="s">
        <v>331</v>
      </c>
      <c r="D21" s="212">
        <v>3</v>
      </c>
      <c r="E21" s="213">
        <f>ROUND(75.38*1.2619,2)</f>
        <v>95.12</v>
      </c>
      <c r="F21" s="213">
        <f t="shared" si="1"/>
        <v>285.36</v>
      </c>
      <c r="G21" s="146"/>
    </row>
    <row r="22" spans="1:7" ht="30" x14ac:dyDescent="0.2">
      <c r="A22" s="163" t="s">
        <v>382</v>
      </c>
      <c r="B22" s="211" t="s">
        <v>383</v>
      </c>
      <c r="C22" s="151" t="s">
        <v>331</v>
      </c>
      <c r="D22" s="212">
        <v>1</v>
      </c>
      <c r="E22" s="213">
        <f>ROUND(78.65*1.2619,2)</f>
        <v>99.25</v>
      </c>
      <c r="F22" s="213">
        <f t="shared" si="1"/>
        <v>99.25</v>
      </c>
      <c r="G22" s="146"/>
    </row>
    <row r="23" spans="1:7" ht="30.75" customHeight="1" x14ac:dyDescent="0.2">
      <c r="A23" s="163" t="s">
        <v>384</v>
      </c>
      <c r="B23" s="211" t="s">
        <v>385</v>
      </c>
      <c r="C23" s="151" t="s">
        <v>331</v>
      </c>
      <c r="D23" s="212">
        <v>1</v>
      </c>
      <c r="E23" s="213">
        <f>ROUND(4.08*1.2619,2)</f>
        <v>5.15</v>
      </c>
      <c r="F23" s="213">
        <f t="shared" si="1"/>
        <v>5.15</v>
      </c>
      <c r="G23" s="146"/>
    </row>
    <row r="24" spans="1:7" ht="30" x14ac:dyDescent="0.2">
      <c r="A24" s="163" t="s">
        <v>386</v>
      </c>
      <c r="B24" s="211" t="s">
        <v>387</v>
      </c>
      <c r="C24" s="151" t="s">
        <v>331</v>
      </c>
      <c r="D24" s="212">
        <v>4</v>
      </c>
      <c r="E24" s="213">
        <f>ROUND(20.71*1.2619,2)</f>
        <v>26.13</v>
      </c>
      <c r="F24" s="213">
        <f t="shared" si="1"/>
        <v>104.52</v>
      </c>
      <c r="G24" s="146"/>
    </row>
    <row r="25" spans="1:7" ht="30" x14ac:dyDescent="0.2">
      <c r="A25" s="163" t="s">
        <v>388</v>
      </c>
      <c r="B25" s="211" t="s">
        <v>389</v>
      </c>
      <c r="C25" s="151" t="s">
        <v>331</v>
      </c>
      <c r="D25" s="212">
        <v>3</v>
      </c>
      <c r="E25" s="213">
        <f>ROUND(3.33*1.2619,2)</f>
        <v>4.2</v>
      </c>
      <c r="F25" s="215">
        <f t="shared" si="1"/>
        <v>12.6</v>
      </c>
      <c r="G25" s="146"/>
    </row>
    <row r="26" spans="1:7" ht="30" x14ac:dyDescent="0.2">
      <c r="A26" s="163" t="s">
        <v>390</v>
      </c>
      <c r="B26" s="211" t="s">
        <v>391</v>
      </c>
      <c r="C26" s="151" t="s">
        <v>331</v>
      </c>
      <c r="D26" s="212">
        <v>2</v>
      </c>
      <c r="E26" s="213">
        <f>ROUND(20.72*1.2619,2)</f>
        <v>26.15</v>
      </c>
      <c r="F26" s="215">
        <f t="shared" si="1"/>
        <v>52.3</v>
      </c>
      <c r="G26" s="146"/>
    </row>
    <row r="27" spans="1:7" ht="30" x14ac:dyDescent="0.2">
      <c r="A27" s="163" t="s">
        <v>392</v>
      </c>
      <c r="B27" s="211" t="s">
        <v>393</v>
      </c>
      <c r="C27" s="151" t="s">
        <v>331</v>
      </c>
      <c r="D27" s="212">
        <v>1</v>
      </c>
      <c r="E27" s="213">
        <f>ROUND(5.29*1.2619,2)</f>
        <v>6.68</v>
      </c>
      <c r="F27" s="215">
        <f t="shared" si="1"/>
        <v>6.68</v>
      </c>
      <c r="G27" s="146"/>
    </row>
    <row r="28" spans="1:7" ht="15" x14ac:dyDescent="0.25">
      <c r="A28" s="163" t="s">
        <v>394</v>
      </c>
      <c r="B28" s="214" t="s">
        <v>395</v>
      </c>
      <c r="C28" s="151" t="s">
        <v>331</v>
      </c>
      <c r="D28" s="212">
        <v>1</v>
      </c>
      <c r="E28" s="215">
        <f>ROUND(5.55*1.2619,2)</f>
        <v>7</v>
      </c>
      <c r="F28" s="215">
        <f t="shared" si="1"/>
        <v>7</v>
      </c>
      <c r="G28" s="146"/>
    </row>
    <row r="29" spans="1:7" ht="15" x14ac:dyDescent="0.25">
      <c r="A29" s="163" t="s">
        <v>396</v>
      </c>
      <c r="B29" s="214" t="s">
        <v>397</v>
      </c>
      <c r="C29" s="151" t="s">
        <v>331</v>
      </c>
      <c r="D29" s="212">
        <v>1</v>
      </c>
      <c r="E29" s="213">
        <f>ROUND(39.11*1.2619,2)</f>
        <v>49.35</v>
      </c>
      <c r="F29" s="215">
        <f t="shared" si="1"/>
        <v>49.35</v>
      </c>
      <c r="G29" s="146"/>
    </row>
    <row r="30" spans="1:7" ht="30" x14ac:dyDescent="0.2">
      <c r="A30" s="163" t="s">
        <v>398</v>
      </c>
      <c r="B30" s="211" t="s">
        <v>399</v>
      </c>
      <c r="C30" s="151" t="s">
        <v>331</v>
      </c>
      <c r="D30" s="212">
        <v>1</v>
      </c>
      <c r="E30" s="213">
        <f>ROUND(14.32*1.2619,2)</f>
        <v>18.07</v>
      </c>
      <c r="F30" s="215">
        <f t="shared" si="1"/>
        <v>18.07</v>
      </c>
      <c r="G30" s="146"/>
    </row>
    <row r="31" spans="1:7" ht="30" x14ac:dyDescent="0.2">
      <c r="A31" s="163" t="s">
        <v>400</v>
      </c>
      <c r="B31" s="211" t="s">
        <v>401</v>
      </c>
      <c r="C31" s="151" t="s">
        <v>331</v>
      </c>
      <c r="D31" s="212">
        <v>3</v>
      </c>
      <c r="E31" s="213">
        <f>ROUND(60.06*1.2619,2)</f>
        <v>75.790000000000006</v>
      </c>
      <c r="F31" s="215">
        <f t="shared" si="1"/>
        <v>227.37</v>
      </c>
      <c r="G31" s="146"/>
    </row>
    <row r="32" spans="1:7" ht="30" x14ac:dyDescent="0.2">
      <c r="A32" s="163" t="s">
        <v>402</v>
      </c>
      <c r="B32" s="211" t="s">
        <v>403</v>
      </c>
      <c r="C32" s="151" t="s">
        <v>331</v>
      </c>
      <c r="D32" s="212">
        <v>1</v>
      </c>
      <c r="E32" s="213">
        <f>ROUND(20.27*1.2619,2)</f>
        <v>25.58</v>
      </c>
      <c r="F32" s="215">
        <f t="shared" si="1"/>
        <v>25.58</v>
      </c>
      <c r="G32" s="146"/>
    </row>
    <row r="33" spans="1:7" ht="30" x14ac:dyDescent="0.2">
      <c r="A33" s="163" t="s">
        <v>404</v>
      </c>
      <c r="B33" s="211" t="s">
        <v>405</v>
      </c>
      <c r="C33" s="151" t="s">
        <v>331</v>
      </c>
      <c r="D33" s="212">
        <v>2</v>
      </c>
      <c r="E33" s="213">
        <f>ROUND(80.88*1.2619,2)</f>
        <v>102.06</v>
      </c>
      <c r="F33" s="215">
        <f t="shared" si="1"/>
        <v>204.12</v>
      </c>
      <c r="G33" s="146"/>
    </row>
    <row r="34" spans="1:7" ht="51" customHeight="1" x14ac:dyDescent="0.2">
      <c r="A34" s="163" t="s">
        <v>406</v>
      </c>
      <c r="B34" s="211" t="s">
        <v>407</v>
      </c>
      <c r="C34" s="151" t="s">
        <v>331</v>
      </c>
      <c r="D34" s="212">
        <v>2</v>
      </c>
      <c r="E34" s="213">
        <f>ROUND(93.63*1.2619,2)</f>
        <v>118.15</v>
      </c>
      <c r="F34" s="215">
        <f t="shared" si="1"/>
        <v>236.3</v>
      </c>
      <c r="G34" s="146"/>
    </row>
    <row r="35" spans="1:7" ht="45" x14ac:dyDescent="0.2">
      <c r="A35" s="163" t="s">
        <v>408</v>
      </c>
      <c r="B35" s="211" t="s">
        <v>409</v>
      </c>
      <c r="C35" s="151" t="s">
        <v>331</v>
      </c>
      <c r="D35" s="212">
        <v>1</v>
      </c>
      <c r="E35" s="213">
        <f>ROUND(168.03*1.2619,2)</f>
        <v>212.04</v>
      </c>
      <c r="F35" s="215">
        <f t="shared" si="1"/>
        <v>212.04</v>
      </c>
      <c r="G35" s="146"/>
    </row>
    <row r="36" spans="1:7" ht="30" x14ac:dyDescent="0.2">
      <c r="A36" s="163" t="s">
        <v>410</v>
      </c>
      <c r="B36" s="211" t="s">
        <v>411</v>
      </c>
      <c r="C36" s="151" t="s">
        <v>331</v>
      </c>
      <c r="D36" s="212">
        <v>1</v>
      </c>
      <c r="E36" s="213">
        <f>ROUND(30.38*1.2619,2)</f>
        <v>38.340000000000003</v>
      </c>
      <c r="F36" s="215">
        <f t="shared" si="1"/>
        <v>38.340000000000003</v>
      </c>
      <c r="G36" s="146"/>
    </row>
    <row r="37" spans="1:7" ht="45" customHeight="1" x14ac:dyDescent="0.2">
      <c r="A37" s="163" t="s">
        <v>412</v>
      </c>
      <c r="B37" s="164" t="s">
        <v>413</v>
      </c>
      <c r="C37" s="151" t="s">
        <v>331</v>
      </c>
      <c r="D37" s="212">
        <v>1</v>
      </c>
      <c r="E37" s="213">
        <f>ROUND(144.71*1.2619,2)</f>
        <v>182.61</v>
      </c>
      <c r="F37" s="215">
        <f>ROUND(D37*E37,2)</f>
        <v>182.61</v>
      </c>
      <c r="G37" s="146"/>
    </row>
    <row r="38" spans="1:7" ht="15" x14ac:dyDescent="0.25">
      <c r="A38" s="162" t="s">
        <v>158</v>
      </c>
      <c r="B38" s="214" t="s">
        <v>414</v>
      </c>
      <c r="C38" s="151" t="s">
        <v>331</v>
      </c>
      <c r="D38" s="212">
        <v>1</v>
      </c>
      <c r="E38" s="213">
        <f>ROUND(125*1.2619,2)</f>
        <v>157.74</v>
      </c>
      <c r="F38" s="215">
        <f>ROUND(D38*E38,2)</f>
        <v>157.74</v>
      </c>
      <c r="G38" s="146"/>
    </row>
    <row r="39" spans="1:7" ht="30" x14ac:dyDescent="0.2">
      <c r="A39" s="163" t="s">
        <v>415</v>
      </c>
      <c r="B39" s="216" t="s">
        <v>416</v>
      </c>
      <c r="C39" s="151" t="s">
        <v>348</v>
      </c>
      <c r="D39" s="212">
        <v>8</v>
      </c>
      <c r="E39" s="213">
        <f>ROUND(10.23*1.2619,2)</f>
        <v>12.91</v>
      </c>
      <c r="F39" s="213">
        <f>ROUND(D39*E39,2)</f>
        <v>103.28</v>
      </c>
      <c r="G39" s="146"/>
    </row>
    <row r="40" spans="1:7" ht="16.5" x14ac:dyDescent="0.25">
      <c r="A40" s="146"/>
      <c r="B40" s="146"/>
      <c r="C40" s="146"/>
      <c r="D40" s="146"/>
      <c r="E40" s="207" t="s">
        <v>311</v>
      </c>
      <c r="F40" s="217">
        <f>SUM(F6:F39)</f>
        <v>3506.9</v>
      </c>
      <c r="G40" s="146"/>
    </row>
    <row r="41" spans="1:7" ht="14.25" x14ac:dyDescent="0.2">
      <c r="A41" s="146"/>
      <c r="B41" s="146"/>
      <c r="C41" s="146"/>
      <c r="D41" s="146"/>
      <c r="E41" s="146"/>
      <c r="F41" s="146"/>
      <c r="G41" s="146"/>
    </row>
  </sheetData>
  <mergeCells count="3">
    <mergeCell ref="A1:E1"/>
    <mergeCell ref="B3:F3"/>
    <mergeCell ref="A4:G4"/>
  </mergeCells>
  <printOptions horizontalCentered="1"/>
  <pageMargins left="0.39370078740157483" right="0.39370078740157483" top="0.39370078740157483" bottom="0.39370078740157483" header="0" footer="0"/>
  <pageSetup paperSize="9" scale="92" orientation="portrait" horizontalDpi="300" verticalDpi="300" r:id="rId1"/>
  <headerFooter alignWithMargins="0">
    <oddHeader>&amp;L&amp;"Arial,Itálico"&amp;11HISTÓRICOS ORÇAMENTÁRIOS</oddHeader>
    <oddFooter>&amp;RPágina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view="pageBreakPreview" zoomScaleNormal="82" zoomScaleSheetLayoutView="100" workbookViewId="0">
      <selection activeCell="B17" activeCellId="1" sqref="F14 B17"/>
    </sheetView>
  </sheetViews>
  <sheetFormatPr defaultRowHeight="12.75" x14ac:dyDescent="0.2"/>
  <cols>
    <col min="1" max="1" width="12.5703125" style="143" customWidth="1"/>
    <col min="2" max="2" width="49.7109375" style="143" customWidth="1"/>
    <col min="3" max="3" width="7.42578125" style="143" customWidth="1"/>
    <col min="4" max="4" width="8.85546875" style="143" customWidth="1"/>
    <col min="5" max="5" width="8.5703125" style="143" customWidth="1"/>
    <col min="6" max="6" width="11.5703125" style="143" customWidth="1"/>
    <col min="7" max="10" width="9.140625" style="143"/>
    <col min="11" max="11" width="41.5703125" style="143" customWidth="1"/>
    <col min="12" max="16384" width="9.140625" style="143"/>
  </cols>
  <sheetData>
    <row r="1" spans="1:14" ht="42.75" customHeight="1" x14ac:dyDescent="0.2">
      <c r="A1" s="452" t="s">
        <v>53</v>
      </c>
      <c r="B1" s="452"/>
      <c r="C1" s="452"/>
      <c r="D1" s="452"/>
      <c r="E1" s="452"/>
      <c r="F1" s="452"/>
    </row>
    <row r="2" spans="1:14" ht="15" x14ac:dyDescent="0.2">
      <c r="A2" s="218"/>
      <c r="B2" s="163"/>
      <c r="C2" s="157"/>
      <c r="D2" s="157"/>
      <c r="E2" s="157"/>
      <c r="F2" s="157"/>
    </row>
    <row r="3" spans="1:14" ht="30" customHeight="1" x14ac:dyDescent="0.2">
      <c r="A3" s="176" t="s">
        <v>417</v>
      </c>
      <c r="B3" s="448" t="s">
        <v>53</v>
      </c>
      <c r="C3" s="448"/>
      <c r="D3" s="448"/>
      <c r="E3" s="448"/>
      <c r="F3" s="448"/>
    </row>
    <row r="4" spans="1:14" ht="15" x14ac:dyDescent="0.2">
      <c r="A4" s="157"/>
      <c r="B4" s="163"/>
      <c r="C4" s="157"/>
      <c r="D4" s="157"/>
      <c r="E4" s="157"/>
      <c r="F4" s="157"/>
    </row>
    <row r="5" spans="1:14" ht="14.25" customHeight="1" x14ac:dyDescent="0.2">
      <c r="A5" s="147" t="s">
        <v>306</v>
      </c>
      <c r="B5" s="148" t="s">
        <v>307</v>
      </c>
      <c r="C5" s="148" t="s">
        <v>308</v>
      </c>
      <c r="D5" s="148" t="s">
        <v>309</v>
      </c>
      <c r="E5" s="148" t="s">
        <v>310</v>
      </c>
      <c r="F5" s="148" t="s">
        <v>311</v>
      </c>
    </row>
    <row r="6" spans="1:14" ht="32.25" customHeight="1" x14ac:dyDescent="0.2">
      <c r="A6" s="219" t="s">
        <v>418</v>
      </c>
      <c r="B6" s="220" t="s">
        <v>419</v>
      </c>
      <c r="C6" s="151" t="s">
        <v>27</v>
      </c>
      <c r="D6" s="212">
        <v>16</v>
      </c>
      <c r="E6" s="213">
        <f>ROUND(10.28*1.2619,2)</f>
        <v>12.97</v>
      </c>
      <c r="F6" s="212">
        <f>ROUND(D6*E6,2)</f>
        <v>207.52</v>
      </c>
      <c r="H6" s="174"/>
    </row>
    <row r="7" spans="1:14" ht="30" x14ac:dyDescent="0.2">
      <c r="A7" s="219" t="s">
        <v>420</v>
      </c>
      <c r="B7" s="221" t="s">
        <v>421</v>
      </c>
      <c r="C7" s="151" t="s">
        <v>27</v>
      </c>
      <c r="D7" s="222">
        <v>15</v>
      </c>
      <c r="E7" s="213">
        <f>ROUND(40.59*1.2619,2)</f>
        <v>51.22</v>
      </c>
      <c r="F7" s="212">
        <f>ROUND(D7*E7,2)</f>
        <v>768.3</v>
      </c>
      <c r="G7" s="174"/>
    </row>
    <row r="8" spans="1:14" ht="30" x14ac:dyDescent="0.2">
      <c r="A8" s="219" t="s">
        <v>378</v>
      </c>
      <c r="B8" s="221" t="s">
        <v>379</v>
      </c>
      <c r="C8" s="223" t="s">
        <v>119</v>
      </c>
      <c r="D8" s="222">
        <v>2</v>
      </c>
      <c r="E8" s="213">
        <f>ROUND(77.93*1.2619,2)</f>
        <v>98.34</v>
      </c>
      <c r="F8" s="212">
        <f>ROUND(D8*E8,2)</f>
        <v>196.68</v>
      </c>
      <c r="H8" s="174"/>
      <c r="I8" s="174"/>
    </row>
    <row r="9" spans="1:14" ht="33" customHeight="1" x14ac:dyDescent="0.2">
      <c r="A9" s="219" t="s">
        <v>422</v>
      </c>
      <c r="B9" s="221" t="s">
        <v>423</v>
      </c>
      <c r="C9" s="223" t="s">
        <v>119</v>
      </c>
      <c r="D9" s="222">
        <v>2</v>
      </c>
      <c r="E9" s="213">
        <f>ROUND(229.39*1.2619,2)</f>
        <v>289.47000000000003</v>
      </c>
      <c r="F9" s="212">
        <f>ROUND(D9*E9,2)</f>
        <v>578.94000000000005</v>
      </c>
      <c r="H9" s="174"/>
    </row>
    <row r="10" spans="1:14" ht="75.75" customHeight="1" x14ac:dyDescent="0.2">
      <c r="A10" s="219" t="s">
        <v>424</v>
      </c>
      <c r="B10" s="224" t="s">
        <v>425</v>
      </c>
      <c r="C10" s="223" t="s">
        <v>119</v>
      </c>
      <c r="D10" s="152">
        <v>2</v>
      </c>
      <c r="E10" s="213">
        <f>ROUND(2382.5*1.2619,2)</f>
        <v>3006.48</v>
      </c>
      <c r="F10" s="212">
        <f>ROUND(D10*E10,2)</f>
        <v>6012.96</v>
      </c>
      <c r="J10" s="163"/>
      <c r="K10" s="221"/>
      <c r="L10" s="213"/>
      <c r="M10" s="215"/>
      <c r="N10" s="213"/>
    </row>
    <row r="11" spans="1:14" ht="15" x14ac:dyDescent="0.2">
      <c r="A11" s="151"/>
      <c r="B11" s="216"/>
      <c r="C11" s="151"/>
      <c r="D11" s="222"/>
      <c r="E11" s="212"/>
      <c r="F11" s="212"/>
    </row>
    <row r="12" spans="1:14" ht="15" x14ac:dyDescent="0.25">
      <c r="A12" s="162"/>
      <c r="B12" s="145"/>
      <c r="C12" s="144"/>
      <c r="D12" s="162"/>
      <c r="E12" s="166" t="s">
        <v>311</v>
      </c>
      <c r="F12" s="167">
        <f>SUM(F6:F11)</f>
        <v>7764.4</v>
      </c>
    </row>
  </sheetData>
  <mergeCells count="2">
    <mergeCell ref="A1:F1"/>
    <mergeCell ref="B3:F3"/>
  </mergeCells>
  <pageMargins left="0.51181102362204722" right="0.51181102362204722" top="0.78740157480314965" bottom="0.78740157480314965" header="0.31496062992125984" footer="0.31496062992125984"/>
  <pageSetup paperSize="9" scale="95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view="pageBreakPreview" topLeftCell="A43" zoomScaleNormal="100" zoomScaleSheetLayoutView="100" workbookViewId="0">
      <selection activeCell="F27" sqref="F27"/>
    </sheetView>
  </sheetViews>
  <sheetFormatPr defaultRowHeight="12.75" x14ac:dyDescent="0.2"/>
  <cols>
    <col min="1" max="1" width="11" style="138" customWidth="1"/>
    <col min="2" max="2" width="43.5703125" style="138" customWidth="1"/>
    <col min="3" max="3" width="7.7109375" style="138" customWidth="1"/>
    <col min="4" max="4" width="9.140625" style="138"/>
    <col min="5" max="5" width="9.5703125" style="138" customWidth="1"/>
    <col min="6" max="6" width="10.28515625" style="138" customWidth="1"/>
    <col min="7" max="16384" width="9.140625" style="138"/>
  </cols>
  <sheetData>
    <row r="1" spans="1:6" ht="15" x14ac:dyDescent="0.2">
      <c r="A1" s="453" t="s">
        <v>324</v>
      </c>
      <c r="B1" s="453"/>
      <c r="C1" s="453"/>
      <c r="D1" s="453"/>
      <c r="E1" s="453"/>
      <c r="F1" s="453"/>
    </row>
    <row r="2" spans="1:6" ht="15" x14ac:dyDescent="0.2">
      <c r="A2" s="175"/>
      <c r="B2" s="175"/>
      <c r="C2" s="175"/>
      <c r="D2" s="175"/>
      <c r="E2" s="175"/>
      <c r="F2" s="157"/>
    </row>
    <row r="3" spans="1:6" ht="33.75" customHeight="1" x14ac:dyDescent="0.2">
      <c r="A3" s="176" t="s">
        <v>426</v>
      </c>
      <c r="B3" s="448" t="s">
        <v>427</v>
      </c>
      <c r="C3" s="448"/>
      <c r="D3" s="448"/>
      <c r="E3" s="448"/>
      <c r="F3" s="448"/>
    </row>
    <row r="4" spans="1:6" ht="15" x14ac:dyDescent="0.2">
      <c r="A4" s="176"/>
      <c r="B4" s="142"/>
      <c r="C4" s="142"/>
      <c r="D4" s="142"/>
      <c r="E4" s="142"/>
      <c r="F4" s="142"/>
    </row>
    <row r="5" spans="1:6" ht="15" x14ac:dyDescent="0.2">
      <c r="A5" s="151">
        <v>1</v>
      </c>
      <c r="B5" s="225" t="s">
        <v>428</v>
      </c>
      <c r="C5" s="142"/>
      <c r="D5" s="142"/>
      <c r="E5" s="142"/>
      <c r="F5" s="142"/>
    </row>
    <row r="6" spans="1:6" ht="15" customHeight="1" x14ac:dyDescent="0.2">
      <c r="A6" s="151" t="s">
        <v>15</v>
      </c>
      <c r="B6" s="225" t="s">
        <v>429</v>
      </c>
      <c r="C6" s="142"/>
      <c r="D6" s="142"/>
      <c r="E6" s="142"/>
      <c r="F6" s="142"/>
    </row>
    <row r="7" spans="1:6" ht="15" x14ac:dyDescent="0.2">
      <c r="A7" s="157"/>
      <c r="B7" s="163"/>
      <c r="C7" s="157"/>
      <c r="D7" s="157"/>
      <c r="E7" s="157"/>
      <c r="F7" s="157"/>
    </row>
    <row r="8" spans="1:6" ht="14.25" x14ac:dyDescent="0.2">
      <c r="A8" s="147" t="s">
        <v>306</v>
      </c>
      <c r="B8" s="148" t="s">
        <v>307</v>
      </c>
      <c r="C8" s="148" t="s">
        <v>308</v>
      </c>
      <c r="D8" s="148" t="s">
        <v>309</v>
      </c>
      <c r="E8" s="148" t="s">
        <v>310</v>
      </c>
      <c r="F8" s="148" t="s">
        <v>311</v>
      </c>
    </row>
    <row r="9" spans="1:6" ht="30" x14ac:dyDescent="0.2">
      <c r="A9" s="154" t="s">
        <v>158</v>
      </c>
      <c r="B9" s="150" t="s">
        <v>430</v>
      </c>
      <c r="C9" s="151" t="s">
        <v>431</v>
      </c>
      <c r="D9" s="151">
        <v>1</v>
      </c>
      <c r="E9" s="161">
        <v>39</v>
      </c>
      <c r="F9" s="161">
        <f>E9*D9</f>
        <v>39</v>
      </c>
    </row>
    <row r="10" spans="1:6" ht="15" x14ac:dyDescent="0.2">
      <c r="A10" s="154" t="s">
        <v>158</v>
      </c>
      <c r="B10" s="150" t="s">
        <v>432</v>
      </c>
      <c r="C10" s="151" t="s">
        <v>431</v>
      </c>
      <c r="D10" s="151">
        <v>1</v>
      </c>
      <c r="E10" s="157">
        <v>49.42</v>
      </c>
      <c r="F10" s="161">
        <f t="shared" ref="F10:F25" si="0">E10*D10</f>
        <v>49.42</v>
      </c>
    </row>
    <row r="11" spans="1:6" ht="15" x14ac:dyDescent="0.2">
      <c r="A11" s="154" t="s">
        <v>158</v>
      </c>
      <c r="B11" s="150" t="s">
        <v>433</v>
      </c>
      <c r="C11" s="151" t="s">
        <v>431</v>
      </c>
      <c r="D11" s="151">
        <v>1</v>
      </c>
      <c r="E11" s="157">
        <v>32.56</v>
      </c>
      <c r="F11" s="161">
        <f t="shared" si="0"/>
        <v>32.56</v>
      </c>
    </row>
    <row r="12" spans="1:6" ht="15" x14ac:dyDescent="0.2">
      <c r="A12" s="154" t="s">
        <v>158</v>
      </c>
      <c r="B12" s="150" t="s">
        <v>434</v>
      </c>
      <c r="C12" s="151" t="s">
        <v>431</v>
      </c>
      <c r="D12" s="151">
        <v>1</v>
      </c>
      <c r="E12" s="157">
        <v>5.86</v>
      </c>
      <c r="F12" s="161">
        <f t="shared" si="0"/>
        <v>5.86</v>
      </c>
    </row>
    <row r="13" spans="1:6" ht="15" x14ac:dyDescent="0.2">
      <c r="A13" s="154" t="s">
        <v>158</v>
      </c>
      <c r="B13" s="150" t="s">
        <v>435</v>
      </c>
      <c r="C13" s="151" t="s">
        <v>431</v>
      </c>
      <c r="D13" s="151">
        <v>1</v>
      </c>
      <c r="E13" s="157">
        <v>5.86</v>
      </c>
      <c r="F13" s="161">
        <f t="shared" si="0"/>
        <v>5.86</v>
      </c>
    </row>
    <row r="14" spans="1:6" ht="15" x14ac:dyDescent="0.2">
      <c r="A14" s="154" t="s">
        <v>158</v>
      </c>
      <c r="B14" s="150" t="s">
        <v>436</v>
      </c>
      <c r="C14" s="151" t="s">
        <v>268</v>
      </c>
      <c r="D14" s="151">
        <v>12</v>
      </c>
      <c r="E14" s="157">
        <v>13.2</v>
      </c>
      <c r="F14" s="161">
        <f t="shared" si="0"/>
        <v>158.39999999999998</v>
      </c>
    </row>
    <row r="15" spans="1:6" ht="15" x14ac:dyDescent="0.2">
      <c r="A15" s="154" t="s">
        <v>158</v>
      </c>
      <c r="B15" s="150" t="s">
        <v>437</v>
      </c>
      <c r="C15" s="151" t="s">
        <v>431</v>
      </c>
      <c r="D15" s="151">
        <v>6</v>
      </c>
      <c r="E15" s="157">
        <v>1.53</v>
      </c>
      <c r="F15" s="161">
        <f t="shared" si="0"/>
        <v>9.18</v>
      </c>
    </row>
    <row r="16" spans="1:6" ht="15" x14ac:dyDescent="0.2">
      <c r="A16" s="154" t="s">
        <v>158</v>
      </c>
      <c r="B16" s="150" t="s">
        <v>438</v>
      </c>
      <c r="C16" s="151" t="s">
        <v>431</v>
      </c>
      <c r="D16" s="151">
        <v>4</v>
      </c>
      <c r="E16" s="157">
        <v>2.69</v>
      </c>
      <c r="F16" s="161">
        <f t="shared" si="0"/>
        <v>10.76</v>
      </c>
    </row>
    <row r="17" spans="1:9" ht="15" x14ac:dyDescent="0.2">
      <c r="A17" s="154" t="s">
        <v>158</v>
      </c>
      <c r="B17" s="150" t="s">
        <v>439</v>
      </c>
      <c r="C17" s="151" t="s">
        <v>431</v>
      </c>
      <c r="D17" s="151">
        <v>4</v>
      </c>
      <c r="E17" s="157">
        <v>4.9000000000000004</v>
      </c>
      <c r="F17" s="161">
        <f t="shared" si="0"/>
        <v>19.600000000000001</v>
      </c>
    </row>
    <row r="18" spans="1:9" ht="15" x14ac:dyDescent="0.2">
      <c r="A18" s="154" t="s">
        <v>158</v>
      </c>
      <c r="B18" s="150" t="s">
        <v>440</v>
      </c>
      <c r="C18" s="151" t="s">
        <v>431</v>
      </c>
      <c r="D18" s="151">
        <v>2</v>
      </c>
      <c r="E18" s="157">
        <v>3.48</v>
      </c>
      <c r="F18" s="161">
        <f t="shared" si="0"/>
        <v>6.96</v>
      </c>
    </row>
    <row r="19" spans="1:9" ht="15" x14ac:dyDescent="0.2">
      <c r="A19" s="154" t="s">
        <v>158</v>
      </c>
      <c r="B19" s="150" t="s">
        <v>441</v>
      </c>
      <c r="C19" s="151" t="s">
        <v>431</v>
      </c>
      <c r="D19" s="151">
        <v>1</v>
      </c>
      <c r="E19" s="157">
        <v>3.48</v>
      </c>
      <c r="F19" s="161">
        <f t="shared" si="0"/>
        <v>3.48</v>
      </c>
    </row>
    <row r="20" spans="1:9" ht="15" x14ac:dyDescent="0.2">
      <c r="A20" s="154" t="s">
        <v>158</v>
      </c>
      <c r="B20" s="150" t="s">
        <v>442</v>
      </c>
      <c r="C20" s="151" t="s">
        <v>431</v>
      </c>
      <c r="D20" s="151">
        <v>1</v>
      </c>
      <c r="E20" s="157">
        <v>3.48</v>
      </c>
      <c r="F20" s="161">
        <f t="shared" si="0"/>
        <v>3.48</v>
      </c>
    </row>
    <row r="21" spans="1:9" ht="15" x14ac:dyDescent="0.2">
      <c r="A21" s="154" t="s">
        <v>158</v>
      </c>
      <c r="B21" s="150" t="s">
        <v>443</v>
      </c>
      <c r="C21" s="151" t="s">
        <v>431</v>
      </c>
      <c r="D21" s="151">
        <v>1</v>
      </c>
      <c r="E21" s="157">
        <v>6.9</v>
      </c>
      <c r="F21" s="161">
        <f t="shared" si="0"/>
        <v>6.9</v>
      </c>
    </row>
    <row r="22" spans="1:9" ht="15" x14ac:dyDescent="0.2">
      <c r="A22" s="154" t="s">
        <v>158</v>
      </c>
      <c r="B22" s="150" t="s">
        <v>444</v>
      </c>
      <c r="C22" s="151" t="s">
        <v>431</v>
      </c>
      <c r="D22" s="151">
        <v>2</v>
      </c>
      <c r="E22" s="157">
        <f>14.96+24</f>
        <v>38.96</v>
      </c>
      <c r="F22" s="161">
        <f t="shared" si="0"/>
        <v>77.92</v>
      </c>
    </row>
    <row r="23" spans="1:9" ht="15" x14ac:dyDescent="0.2">
      <c r="A23" s="154" t="s">
        <v>158</v>
      </c>
      <c r="B23" s="150" t="s">
        <v>445</v>
      </c>
      <c r="C23" s="151" t="s">
        <v>431</v>
      </c>
      <c r="D23" s="151">
        <v>1</v>
      </c>
      <c r="E23" s="157">
        <v>5.88</v>
      </c>
      <c r="F23" s="161">
        <f t="shared" si="0"/>
        <v>5.88</v>
      </c>
    </row>
    <row r="24" spans="1:9" ht="15" x14ac:dyDescent="0.2">
      <c r="A24" s="154" t="s">
        <v>158</v>
      </c>
      <c r="B24" s="150" t="s">
        <v>446</v>
      </c>
      <c r="C24" s="151" t="s">
        <v>268</v>
      </c>
      <c r="D24" s="151">
        <v>40</v>
      </c>
      <c r="E24" s="157">
        <v>1.1000000000000001</v>
      </c>
      <c r="F24" s="161">
        <f t="shared" si="0"/>
        <v>44</v>
      </c>
    </row>
    <row r="25" spans="1:9" ht="15" x14ac:dyDescent="0.2">
      <c r="A25" s="154" t="s">
        <v>158</v>
      </c>
      <c r="B25" s="150" t="s">
        <v>447</v>
      </c>
      <c r="C25" s="151" t="s">
        <v>268</v>
      </c>
      <c r="D25" s="151">
        <v>15</v>
      </c>
      <c r="E25" s="157">
        <v>0.7</v>
      </c>
      <c r="F25" s="161">
        <f t="shared" si="0"/>
        <v>10.5</v>
      </c>
    </row>
    <row r="26" spans="1:9" ht="15" x14ac:dyDescent="0.2">
      <c r="A26" s="154"/>
      <c r="B26" s="184"/>
      <c r="C26" s="151"/>
      <c r="D26" s="450" t="s">
        <v>448</v>
      </c>
      <c r="E26" s="450"/>
      <c r="F26" s="190">
        <f>SUM(F9:F25)</f>
        <v>489.76000000000005</v>
      </c>
    </row>
    <row r="27" spans="1:9" ht="15" x14ac:dyDescent="0.2">
      <c r="A27" s="154"/>
      <c r="B27" s="184"/>
      <c r="C27" s="151"/>
      <c r="D27" s="152"/>
      <c r="E27" s="157"/>
      <c r="F27" s="157"/>
    </row>
    <row r="28" spans="1:9" ht="15" x14ac:dyDescent="0.2">
      <c r="A28" s="151" t="s">
        <v>26</v>
      </c>
      <c r="B28" s="225" t="s">
        <v>449</v>
      </c>
      <c r="C28" s="151"/>
      <c r="D28" s="152"/>
      <c r="E28" s="157"/>
      <c r="F28" s="157"/>
    </row>
    <row r="29" spans="1:9" ht="15" x14ac:dyDescent="0.2">
      <c r="A29" s="157"/>
      <c r="B29" s="157"/>
      <c r="C29" s="157"/>
      <c r="D29" s="157"/>
      <c r="E29" s="157"/>
      <c r="F29" s="157"/>
    </row>
    <row r="30" spans="1:9" ht="14.25" x14ac:dyDescent="0.2">
      <c r="A30" s="147" t="s">
        <v>306</v>
      </c>
      <c r="B30" s="148" t="s">
        <v>307</v>
      </c>
      <c r="C30" s="148" t="s">
        <v>308</v>
      </c>
      <c r="D30" s="148" t="s">
        <v>309</v>
      </c>
      <c r="E30" s="148" t="s">
        <v>310</v>
      </c>
      <c r="F30" s="148" t="s">
        <v>311</v>
      </c>
    </row>
    <row r="31" spans="1:9" ht="31.5" customHeight="1" x14ac:dyDescent="0.2">
      <c r="A31" s="226">
        <v>40102</v>
      </c>
      <c r="B31" s="150" t="s">
        <v>450</v>
      </c>
      <c r="C31" s="151" t="s">
        <v>431</v>
      </c>
      <c r="D31" s="151">
        <v>1</v>
      </c>
      <c r="E31" s="157">
        <f>ROUND((1017.33/1.309)*1.2619,2)</f>
        <v>980.72</v>
      </c>
      <c r="F31" s="161">
        <f t="shared" ref="F31:F39" si="1">(E31*D31)</f>
        <v>980.72</v>
      </c>
      <c r="I31" s="155"/>
    </row>
    <row r="32" spans="1:9" ht="15" x14ac:dyDescent="0.2">
      <c r="A32" s="154" t="s">
        <v>158</v>
      </c>
      <c r="B32" s="150" t="s">
        <v>451</v>
      </c>
      <c r="C32" s="151" t="s">
        <v>268</v>
      </c>
      <c r="D32" s="151">
        <v>72</v>
      </c>
      <c r="E32" s="157">
        <v>8.02</v>
      </c>
      <c r="F32" s="161">
        <f t="shared" si="1"/>
        <v>577.43999999999994</v>
      </c>
    </row>
    <row r="33" spans="1:6" ht="15" x14ac:dyDescent="0.2">
      <c r="A33" s="154" t="s">
        <v>158</v>
      </c>
      <c r="B33" s="150" t="s">
        <v>452</v>
      </c>
      <c r="C33" s="151" t="s">
        <v>268</v>
      </c>
      <c r="D33" s="151">
        <v>16</v>
      </c>
      <c r="E33" s="157">
        <v>4.9400000000000004</v>
      </c>
      <c r="F33" s="161">
        <f t="shared" si="1"/>
        <v>79.040000000000006</v>
      </c>
    </row>
    <row r="34" spans="1:6" ht="30" x14ac:dyDescent="0.2">
      <c r="A34" s="154" t="s">
        <v>158</v>
      </c>
      <c r="B34" s="150" t="s">
        <v>453</v>
      </c>
      <c r="C34" s="151" t="s">
        <v>454</v>
      </c>
      <c r="D34" s="151">
        <v>1</v>
      </c>
      <c r="E34" s="157">
        <v>80.14</v>
      </c>
      <c r="F34" s="161">
        <f t="shared" si="1"/>
        <v>80.14</v>
      </c>
    </row>
    <row r="35" spans="1:6" ht="15" x14ac:dyDescent="0.2">
      <c r="A35" s="154" t="s">
        <v>158</v>
      </c>
      <c r="B35" s="150" t="s">
        <v>432</v>
      </c>
      <c r="C35" s="151" t="s">
        <v>431</v>
      </c>
      <c r="D35" s="151">
        <v>1</v>
      </c>
      <c r="E35" s="157">
        <v>49.42</v>
      </c>
      <c r="F35" s="161">
        <f t="shared" si="1"/>
        <v>49.42</v>
      </c>
    </row>
    <row r="36" spans="1:6" ht="15" x14ac:dyDescent="0.2">
      <c r="A36" s="154" t="s">
        <v>158</v>
      </c>
      <c r="B36" s="150" t="s">
        <v>455</v>
      </c>
      <c r="C36" s="151" t="s">
        <v>431</v>
      </c>
      <c r="D36" s="151">
        <v>2</v>
      </c>
      <c r="E36" s="157">
        <v>26.95</v>
      </c>
      <c r="F36" s="161">
        <f t="shared" si="1"/>
        <v>53.9</v>
      </c>
    </row>
    <row r="37" spans="1:6" ht="15" x14ac:dyDescent="0.2">
      <c r="A37" s="154" t="s">
        <v>158</v>
      </c>
      <c r="B37" s="150" t="s">
        <v>456</v>
      </c>
      <c r="C37" s="151" t="s">
        <v>268</v>
      </c>
      <c r="D37" s="151">
        <v>12</v>
      </c>
      <c r="E37" s="157">
        <v>13.96</v>
      </c>
      <c r="F37" s="161">
        <f t="shared" si="1"/>
        <v>167.52</v>
      </c>
    </row>
    <row r="38" spans="1:6" ht="15" x14ac:dyDescent="0.2">
      <c r="A38" s="154" t="s">
        <v>158</v>
      </c>
      <c r="B38" s="150" t="s">
        <v>457</v>
      </c>
      <c r="C38" s="151" t="s">
        <v>268</v>
      </c>
      <c r="D38" s="151">
        <v>2</v>
      </c>
      <c r="E38" s="157">
        <v>3.58</v>
      </c>
      <c r="F38" s="161">
        <f t="shared" si="1"/>
        <v>7.16</v>
      </c>
    </row>
    <row r="39" spans="1:6" ht="15" x14ac:dyDescent="0.2">
      <c r="A39" s="154" t="s">
        <v>158</v>
      </c>
      <c r="B39" s="150" t="s">
        <v>458</v>
      </c>
      <c r="C39" s="151" t="s">
        <v>268</v>
      </c>
      <c r="D39" s="151">
        <v>8</v>
      </c>
      <c r="E39" s="157">
        <v>1.84</v>
      </c>
      <c r="F39" s="161">
        <f t="shared" si="1"/>
        <v>14.72</v>
      </c>
    </row>
    <row r="40" spans="1:6" ht="15" x14ac:dyDescent="0.2">
      <c r="A40" s="154"/>
      <c r="B40" s="150"/>
      <c r="C40" s="151"/>
      <c r="D40" s="450" t="s">
        <v>448</v>
      </c>
      <c r="E40" s="450"/>
      <c r="F40" s="190">
        <f>SUM(F31:F39)</f>
        <v>2010.0600000000002</v>
      </c>
    </row>
    <row r="41" spans="1:6" ht="15" x14ac:dyDescent="0.2">
      <c r="A41" s="154"/>
      <c r="B41" s="150"/>
      <c r="C41" s="151"/>
      <c r="D41" s="189"/>
      <c r="E41" s="189"/>
      <c r="F41" s="190"/>
    </row>
    <row r="42" spans="1:6" ht="15" x14ac:dyDescent="0.2">
      <c r="A42" s="154"/>
      <c r="B42" s="150"/>
      <c r="C42" s="151"/>
      <c r="D42" s="189"/>
      <c r="E42" s="189"/>
      <c r="F42" s="190"/>
    </row>
    <row r="43" spans="1:6" ht="15" x14ac:dyDescent="0.2">
      <c r="A43" s="154"/>
      <c r="B43" s="150"/>
      <c r="C43" s="151"/>
      <c r="D43" s="189"/>
      <c r="E43" s="189"/>
      <c r="F43" s="190"/>
    </row>
    <row r="44" spans="1:6" ht="15" x14ac:dyDescent="0.2">
      <c r="A44" s="154"/>
      <c r="B44" s="150"/>
      <c r="C44" s="151"/>
      <c r="D44" s="189"/>
      <c r="E44" s="189"/>
      <c r="F44" s="190"/>
    </row>
    <row r="45" spans="1:6" ht="15" x14ac:dyDescent="0.2">
      <c r="A45" s="157"/>
      <c r="B45" s="157"/>
      <c r="C45" s="157"/>
      <c r="D45" s="157"/>
      <c r="E45" s="157"/>
      <c r="F45" s="157"/>
    </row>
    <row r="46" spans="1:6" ht="15" x14ac:dyDescent="0.2">
      <c r="A46" s="151" t="s">
        <v>459</v>
      </c>
      <c r="B46" s="225" t="s">
        <v>460</v>
      </c>
      <c r="C46" s="157"/>
      <c r="D46" s="157"/>
      <c r="E46" s="157"/>
      <c r="F46" s="157"/>
    </row>
    <row r="47" spans="1:6" ht="15" x14ac:dyDescent="0.2">
      <c r="A47" s="157"/>
      <c r="B47" s="157"/>
      <c r="C47" s="157"/>
      <c r="D47" s="157"/>
      <c r="E47" s="157"/>
      <c r="F47" s="157"/>
    </row>
    <row r="48" spans="1:6" ht="14.25" x14ac:dyDescent="0.2">
      <c r="A48" s="147" t="s">
        <v>306</v>
      </c>
      <c r="B48" s="148" t="s">
        <v>307</v>
      </c>
      <c r="C48" s="148" t="s">
        <v>308</v>
      </c>
      <c r="D48" s="148" t="s">
        <v>309</v>
      </c>
      <c r="E48" s="148" t="s">
        <v>310</v>
      </c>
      <c r="F48" s="148" t="s">
        <v>311</v>
      </c>
    </row>
    <row r="49" spans="1:6" ht="78" customHeight="1" x14ac:dyDescent="0.2">
      <c r="A49" s="154" t="s">
        <v>158</v>
      </c>
      <c r="B49" s="221" t="s">
        <v>461</v>
      </c>
      <c r="C49" s="151" t="s">
        <v>431</v>
      </c>
      <c r="D49" s="152">
        <v>1</v>
      </c>
      <c r="E49" s="161">
        <v>1214</v>
      </c>
      <c r="F49" s="161">
        <f>(E49*D49)</f>
        <v>1214</v>
      </c>
    </row>
    <row r="50" spans="1:6" ht="15" x14ac:dyDescent="0.2">
      <c r="A50" s="154" t="s">
        <v>158</v>
      </c>
      <c r="B50" s="150" t="s">
        <v>462</v>
      </c>
      <c r="C50" s="151" t="s">
        <v>431</v>
      </c>
      <c r="D50" s="152">
        <v>2</v>
      </c>
      <c r="E50" s="157">
        <v>33.380000000000003</v>
      </c>
      <c r="F50" s="161">
        <f t="shared" ref="F50:F55" si="2">(E50*D50)</f>
        <v>66.760000000000005</v>
      </c>
    </row>
    <row r="51" spans="1:6" ht="15" x14ac:dyDescent="0.2">
      <c r="A51" s="154" t="s">
        <v>158</v>
      </c>
      <c r="B51" s="150" t="s">
        <v>463</v>
      </c>
      <c r="C51" s="151" t="s">
        <v>268</v>
      </c>
      <c r="D51" s="152">
        <v>230</v>
      </c>
      <c r="E51" s="161">
        <v>1.1000000000000001</v>
      </c>
      <c r="F51" s="161">
        <f t="shared" si="2"/>
        <v>253.00000000000003</v>
      </c>
    </row>
    <row r="52" spans="1:6" ht="15" x14ac:dyDescent="0.2">
      <c r="A52" s="154" t="s">
        <v>158</v>
      </c>
      <c r="B52" s="150" t="s">
        <v>464</v>
      </c>
      <c r="C52" s="151" t="s">
        <v>268</v>
      </c>
      <c r="D52" s="152">
        <v>60</v>
      </c>
      <c r="E52" s="157">
        <v>1.83</v>
      </c>
      <c r="F52" s="161">
        <f t="shared" si="2"/>
        <v>109.80000000000001</v>
      </c>
    </row>
    <row r="53" spans="1:6" ht="15" x14ac:dyDescent="0.2">
      <c r="A53" s="154" t="s">
        <v>158</v>
      </c>
      <c r="B53" s="150" t="s">
        <v>465</v>
      </c>
      <c r="C53" s="151" t="s">
        <v>268</v>
      </c>
      <c r="D53" s="152">
        <v>3</v>
      </c>
      <c r="E53" s="157">
        <v>9.69</v>
      </c>
      <c r="F53" s="161">
        <f t="shared" si="2"/>
        <v>29.07</v>
      </c>
    </row>
    <row r="54" spans="1:6" ht="15" x14ac:dyDescent="0.2">
      <c r="A54" s="154" t="s">
        <v>158</v>
      </c>
      <c r="B54" s="150" t="s">
        <v>466</v>
      </c>
      <c r="C54" s="151" t="s">
        <v>268</v>
      </c>
      <c r="D54" s="152">
        <v>2</v>
      </c>
      <c r="E54" s="157">
        <v>3.56</v>
      </c>
      <c r="F54" s="161">
        <f t="shared" si="2"/>
        <v>7.12</v>
      </c>
    </row>
    <row r="55" spans="1:6" ht="15" x14ac:dyDescent="0.2">
      <c r="A55" s="154" t="s">
        <v>158</v>
      </c>
      <c r="B55" s="150" t="s">
        <v>467</v>
      </c>
      <c r="C55" s="151" t="s">
        <v>268</v>
      </c>
      <c r="D55" s="152">
        <v>4</v>
      </c>
      <c r="E55" s="157">
        <v>1.18</v>
      </c>
      <c r="F55" s="161">
        <f t="shared" si="2"/>
        <v>4.72</v>
      </c>
    </row>
    <row r="56" spans="1:6" ht="15" x14ac:dyDescent="0.2">
      <c r="A56" s="157"/>
      <c r="B56" s="157"/>
      <c r="C56" s="157"/>
      <c r="D56" s="450" t="s">
        <v>448</v>
      </c>
      <c r="E56" s="450"/>
      <c r="F56" s="190">
        <f>SUM(F49:F55)</f>
        <v>1684.4699999999998</v>
      </c>
    </row>
    <row r="57" spans="1:6" ht="15" x14ac:dyDescent="0.2">
      <c r="A57" s="157"/>
      <c r="B57" s="157"/>
      <c r="C57" s="157"/>
      <c r="D57" s="157"/>
      <c r="E57" s="157"/>
      <c r="F57" s="157"/>
    </row>
    <row r="58" spans="1:6" ht="15" x14ac:dyDescent="0.2">
      <c r="A58" s="157"/>
      <c r="B58" s="157"/>
      <c r="C58" s="157"/>
      <c r="D58" s="157"/>
      <c r="E58" s="166" t="s">
        <v>311</v>
      </c>
      <c r="F58" s="190">
        <f>SUM(F56+F40+F26)</f>
        <v>4184.29</v>
      </c>
    </row>
  </sheetData>
  <mergeCells count="5">
    <mergeCell ref="A1:F1"/>
    <mergeCell ref="B3:F3"/>
    <mergeCell ref="D26:E26"/>
    <mergeCell ref="D40:E40"/>
    <mergeCell ref="D56:E5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"/>
  <sheetViews>
    <sheetView view="pageBreakPreview" topLeftCell="A43" zoomScaleNormal="70" zoomScaleSheetLayoutView="100" workbookViewId="0">
      <selection activeCell="I14" sqref="I14"/>
    </sheetView>
  </sheetViews>
  <sheetFormatPr defaultRowHeight="12.75" x14ac:dyDescent="0.2"/>
  <cols>
    <col min="1" max="1" width="14" style="143" customWidth="1"/>
    <col min="2" max="2" width="57.140625" style="143" customWidth="1"/>
    <col min="3" max="3" width="7" style="143" customWidth="1"/>
    <col min="4" max="4" width="10" style="143" customWidth="1"/>
    <col min="5" max="5" width="11.140625" style="143" customWidth="1"/>
    <col min="6" max="6" width="14.42578125" style="143" customWidth="1"/>
    <col min="7" max="7" width="9.140625" style="143"/>
    <col min="8" max="8" width="10.28515625" style="143" customWidth="1"/>
    <col min="9" max="9" width="9.140625" style="143"/>
    <col min="10" max="10" width="8.7109375" style="143" customWidth="1"/>
    <col min="11" max="11" width="8.42578125" style="143" customWidth="1"/>
    <col min="12" max="16384" width="9.140625" style="143"/>
  </cols>
  <sheetData>
    <row r="1" spans="1:20" ht="18.75" x14ac:dyDescent="0.2">
      <c r="A1" s="447" t="s">
        <v>56</v>
      </c>
      <c r="B1" s="447"/>
      <c r="C1" s="447"/>
      <c r="D1" s="447"/>
      <c r="E1" s="447"/>
      <c r="F1" s="447"/>
      <c r="L1" s="454"/>
      <c r="M1" s="454"/>
      <c r="N1" s="454"/>
      <c r="O1" s="454"/>
      <c r="P1" s="454"/>
      <c r="Q1" s="454"/>
      <c r="R1" s="227"/>
      <c r="S1" s="227"/>
      <c r="T1" s="228"/>
    </row>
    <row r="2" spans="1:20" ht="15" x14ac:dyDescent="0.2">
      <c r="A2" s="175"/>
      <c r="B2" s="175"/>
      <c r="C2" s="175"/>
      <c r="D2" s="175"/>
      <c r="E2" s="175"/>
      <c r="F2" s="175"/>
      <c r="L2" s="229"/>
      <c r="M2" s="230"/>
      <c r="N2" s="231"/>
      <c r="O2" s="231"/>
      <c r="P2" s="232"/>
      <c r="Q2" s="231"/>
      <c r="R2" s="231"/>
      <c r="S2" s="233"/>
      <c r="T2" s="228"/>
    </row>
    <row r="3" spans="1:20" ht="15" x14ac:dyDescent="0.2">
      <c r="A3" s="176" t="s">
        <v>468</v>
      </c>
      <c r="B3" s="448" t="s">
        <v>56</v>
      </c>
      <c r="C3" s="448"/>
      <c r="D3" s="448"/>
      <c r="E3" s="448"/>
      <c r="F3" s="448"/>
      <c r="L3" s="234"/>
      <c r="M3" s="235"/>
      <c r="N3" s="236"/>
      <c r="O3" s="237"/>
      <c r="P3" s="238"/>
      <c r="Q3" s="239"/>
      <c r="R3" s="240"/>
      <c r="S3" s="241"/>
      <c r="T3" s="228"/>
    </row>
    <row r="4" spans="1:20" ht="15" x14ac:dyDescent="0.25">
      <c r="A4" s="144"/>
      <c r="B4" s="145"/>
      <c r="C4" s="144"/>
      <c r="D4" s="144"/>
      <c r="E4" s="144"/>
      <c r="F4" s="144"/>
      <c r="I4" s="228"/>
      <c r="J4" s="228"/>
      <c r="K4" s="228"/>
      <c r="L4" s="234"/>
      <c r="M4" s="235"/>
      <c r="N4" s="236"/>
      <c r="O4" s="239"/>
      <c r="P4" s="238"/>
      <c r="Q4" s="239"/>
      <c r="R4" s="240"/>
      <c r="S4" s="242"/>
      <c r="T4" s="228"/>
    </row>
    <row r="5" spans="1:20" ht="14.25" x14ac:dyDescent="0.2">
      <c r="A5" s="147" t="s">
        <v>306</v>
      </c>
      <c r="B5" s="148" t="s">
        <v>307</v>
      </c>
      <c r="C5" s="148" t="s">
        <v>308</v>
      </c>
      <c r="D5" s="148" t="s">
        <v>309</v>
      </c>
      <c r="E5" s="148" t="s">
        <v>310</v>
      </c>
      <c r="F5" s="148" t="s">
        <v>311</v>
      </c>
      <c r="I5" s="228"/>
      <c r="J5" s="235"/>
      <c r="K5" s="236"/>
      <c r="L5" s="237"/>
      <c r="M5" s="238"/>
      <c r="N5" s="243"/>
      <c r="O5" s="239"/>
      <c r="P5" s="238"/>
      <c r="Q5" s="239"/>
      <c r="R5" s="240"/>
      <c r="S5" s="242"/>
      <c r="T5" s="228"/>
    </row>
    <row r="6" spans="1:20" ht="30" x14ac:dyDescent="0.2">
      <c r="A6" s="163" t="s">
        <v>469</v>
      </c>
      <c r="B6" s="221" t="s">
        <v>470</v>
      </c>
      <c r="C6" s="213" t="s">
        <v>27</v>
      </c>
      <c r="D6" s="215">
        <v>2</v>
      </c>
      <c r="E6" s="213">
        <f>ROUND(8.07*1.2619,2)</f>
        <v>10.18</v>
      </c>
      <c r="F6" s="213">
        <f>ROUND(D6*E6,2)</f>
        <v>20.36</v>
      </c>
      <c r="I6" s="244"/>
      <c r="J6" s="235"/>
      <c r="K6" s="236"/>
      <c r="L6" s="239"/>
      <c r="M6" s="238"/>
      <c r="N6" s="243"/>
      <c r="O6" s="239"/>
      <c r="P6" s="238"/>
      <c r="Q6" s="239"/>
      <c r="R6" s="240"/>
      <c r="S6" s="242"/>
      <c r="T6" s="228"/>
    </row>
    <row r="7" spans="1:20" ht="30" x14ac:dyDescent="0.2">
      <c r="A7" s="163" t="s">
        <v>471</v>
      </c>
      <c r="B7" s="221" t="s">
        <v>472</v>
      </c>
      <c r="C7" s="213" t="s">
        <v>27</v>
      </c>
      <c r="D7" s="215">
        <v>36</v>
      </c>
      <c r="E7" s="213">
        <f>ROUND(9.26*1.2619,2)</f>
        <v>11.69</v>
      </c>
      <c r="F7" s="213">
        <f t="shared" ref="F7:F53" si="0">ROUND(D7*E7,2)</f>
        <v>420.84</v>
      </c>
      <c r="I7" s="244"/>
      <c r="J7" s="235"/>
      <c r="K7" s="243"/>
      <c r="L7" s="239"/>
      <c r="M7" s="238"/>
      <c r="N7" s="236"/>
      <c r="O7" s="239"/>
      <c r="P7" s="238"/>
      <c r="Q7" s="239"/>
      <c r="R7" s="240"/>
      <c r="S7" s="242"/>
      <c r="T7" s="228"/>
    </row>
    <row r="8" spans="1:20" ht="30" x14ac:dyDescent="0.2">
      <c r="A8" s="163" t="s">
        <v>473</v>
      </c>
      <c r="B8" s="221" t="s">
        <v>474</v>
      </c>
      <c r="C8" s="213" t="s">
        <v>120</v>
      </c>
      <c r="D8" s="215">
        <v>4</v>
      </c>
      <c r="E8" s="213">
        <f>ROUND(2.57*1.2619,2)</f>
        <v>3.24</v>
      </c>
      <c r="F8" s="213">
        <f t="shared" si="0"/>
        <v>12.96</v>
      </c>
      <c r="I8" s="244"/>
      <c r="J8" s="235"/>
      <c r="K8" s="243"/>
      <c r="L8" s="239"/>
      <c r="M8" s="238"/>
      <c r="N8" s="243"/>
      <c r="O8" s="239"/>
      <c r="P8" s="238"/>
      <c r="Q8" s="239"/>
      <c r="R8" s="240"/>
      <c r="S8" s="242"/>
      <c r="T8" s="228"/>
    </row>
    <row r="9" spans="1:20" ht="30" x14ac:dyDescent="0.2">
      <c r="A9" s="163" t="s">
        <v>475</v>
      </c>
      <c r="B9" s="221" t="s">
        <v>476</v>
      </c>
      <c r="C9" s="213" t="s">
        <v>120</v>
      </c>
      <c r="D9" s="215">
        <v>12</v>
      </c>
      <c r="E9" s="213">
        <f>ROUND(33.6*1.2619,2)</f>
        <v>42.4</v>
      </c>
      <c r="F9" s="213">
        <f t="shared" si="0"/>
        <v>508.8</v>
      </c>
      <c r="I9" s="244"/>
      <c r="J9" s="235"/>
      <c r="K9" s="243"/>
      <c r="L9" s="239"/>
      <c r="M9" s="238"/>
      <c r="N9" s="245"/>
      <c r="O9" s="246"/>
      <c r="P9" s="247"/>
      <c r="Q9" s="247"/>
      <c r="R9" s="248"/>
      <c r="S9" s="248"/>
      <c r="T9" s="228"/>
    </row>
    <row r="10" spans="1:20" ht="30" x14ac:dyDescent="0.2">
      <c r="A10" s="163" t="s">
        <v>477</v>
      </c>
      <c r="B10" s="221" t="s">
        <v>478</v>
      </c>
      <c r="C10" s="213" t="s">
        <v>120</v>
      </c>
      <c r="D10" s="215">
        <v>9</v>
      </c>
      <c r="E10" s="213">
        <f>ROUND(89.85*1.2619,2)</f>
        <v>113.38</v>
      </c>
      <c r="F10" s="213">
        <f t="shared" si="0"/>
        <v>1020.42</v>
      </c>
      <c r="I10" s="228"/>
      <c r="J10" s="230"/>
      <c r="K10" s="245"/>
      <c r="L10" s="246"/>
      <c r="M10" s="247"/>
      <c r="N10" s="249"/>
      <c r="O10" s="250"/>
      <c r="P10" s="250"/>
      <c r="Q10" s="250"/>
      <c r="R10" s="240"/>
      <c r="S10" s="241"/>
      <c r="T10" s="228"/>
    </row>
    <row r="11" spans="1:20" ht="30" x14ac:dyDescent="0.2">
      <c r="A11" s="163" t="s">
        <v>479</v>
      </c>
      <c r="B11" s="221" t="s">
        <v>480</v>
      </c>
      <c r="C11" s="213" t="s">
        <v>27</v>
      </c>
      <c r="D11" s="215">
        <v>60</v>
      </c>
      <c r="E11" s="213">
        <f>ROUND(53.38*1.2619,2)</f>
        <v>67.36</v>
      </c>
      <c r="F11" s="213">
        <f t="shared" si="0"/>
        <v>4041.6</v>
      </c>
      <c r="I11" s="244"/>
      <c r="J11" s="251"/>
      <c r="K11" s="252"/>
      <c r="L11" s="253"/>
      <c r="M11" s="254"/>
      <c r="N11" s="252"/>
      <c r="O11" s="255"/>
      <c r="P11" s="250"/>
      <c r="Q11" s="254"/>
      <c r="R11" s="240"/>
      <c r="S11" s="240"/>
      <c r="T11" s="228"/>
    </row>
    <row r="12" spans="1:20" ht="30" x14ac:dyDescent="0.2">
      <c r="A12" s="163" t="s">
        <v>477</v>
      </c>
      <c r="B12" s="221" t="s">
        <v>481</v>
      </c>
      <c r="C12" s="213" t="s">
        <v>120</v>
      </c>
      <c r="D12" s="215">
        <v>5</v>
      </c>
      <c r="E12" s="213">
        <f>ROUND(89.85*1.2619,2)</f>
        <v>113.38</v>
      </c>
      <c r="F12" s="213">
        <f t="shared" si="0"/>
        <v>566.9</v>
      </c>
      <c r="I12" s="244"/>
      <c r="J12" s="251"/>
      <c r="K12" s="252"/>
      <c r="L12" s="253"/>
      <c r="M12" s="254"/>
      <c r="N12" s="252"/>
      <c r="O12" s="255"/>
      <c r="P12" s="250"/>
      <c r="Q12" s="254"/>
      <c r="R12" s="240"/>
      <c r="S12" s="240"/>
      <c r="T12" s="228"/>
    </row>
    <row r="13" spans="1:20" ht="30" x14ac:dyDescent="0.2">
      <c r="A13" s="163" t="s">
        <v>482</v>
      </c>
      <c r="B13" s="221" t="s">
        <v>483</v>
      </c>
      <c r="C13" s="213" t="s">
        <v>120</v>
      </c>
      <c r="D13" s="215">
        <v>2</v>
      </c>
      <c r="E13" s="213">
        <f>ROUND(112.86*1.2619,2)</f>
        <v>142.41999999999999</v>
      </c>
      <c r="F13" s="213">
        <f t="shared" si="0"/>
        <v>284.83999999999997</v>
      </c>
      <c r="I13" s="244"/>
      <c r="J13" s="251"/>
      <c r="K13" s="252"/>
      <c r="L13" s="253"/>
      <c r="M13" s="254"/>
      <c r="N13" s="252"/>
      <c r="O13" s="255"/>
      <c r="P13" s="250"/>
      <c r="Q13" s="254"/>
      <c r="R13" s="240"/>
      <c r="S13" s="240"/>
      <c r="T13" s="228"/>
    </row>
    <row r="14" spans="1:20" ht="15" x14ac:dyDescent="0.2">
      <c r="A14" s="163" t="s">
        <v>484</v>
      </c>
      <c r="B14" s="221" t="s">
        <v>485</v>
      </c>
      <c r="C14" s="213" t="s">
        <v>120</v>
      </c>
      <c r="D14" s="215">
        <v>1</v>
      </c>
      <c r="E14" s="213">
        <f>ROUND(183.4*1.2619,2)</f>
        <v>231.43</v>
      </c>
      <c r="F14" s="213">
        <f t="shared" si="0"/>
        <v>231.43</v>
      </c>
      <c r="I14" s="244"/>
      <c r="J14" s="251"/>
      <c r="K14" s="252"/>
      <c r="L14" s="253"/>
      <c r="M14" s="254"/>
      <c r="N14" s="252"/>
      <c r="O14" s="255"/>
      <c r="P14" s="250"/>
      <c r="Q14" s="254"/>
      <c r="R14" s="240"/>
      <c r="S14" s="240"/>
      <c r="T14" s="228"/>
    </row>
    <row r="15" spans="1:20" ht="45" x14ac:dyDescent="0.2">
      <c r="A15" s="163" t="s">
        <v>486</v>
      </c>
      <c r="B15" s="221" t="s">
        <v>487</v>
      </c>
      <c r="C15" s="213" t="s">
        <v>120</v>
      </c>
      <c r="D15" s="215">
        <v>2</v>
      </c>
      <c r="E15" s="213">
        <f>ROUND(18.34*1.2619,2)</f>
        <v>23.14</v>
      </c>
      <c r="F15" s="213">
        <f t="shared" si="0"/>
        <v>46.28</v>
      </c>
      <c r="I15" s="244"/>
      <c r="J15" s="251"/>
      <c r="K15" s="252"/>
      <c r="L15" s="253"/>
      <c r="M15" s="254"/>
      <c r="N15" s="252"/>
      <c r="O15" s="255"/>
      <c r="P15" s="250"/>
      <c r="Q15" s="254"/>
      <c r="R15" s="240"/>
      <c r="S15" s="240"/>
      <c r="T15" s="228"/>
    </row>
    <row r="16" spans="1:20" ht="15" x14ac:dyDescent="0.2">
      <c r="A16" s="163" t="s">
        <v>158</v>
      </c>
      <c r="B16" s="221" t="s">
        <v>488</v>
      </c>
      <c r="C16" s="213" t="s">
        <v>120</v>
      </c>
      <c r="D16" s="215">
        <v>2</v>
      </c>
      <c r="E16" s="213">
        <v>39.26</v>
      </c>
      <c r="F16" s="213">
        <f t="shared" si="0"/>
        <v>78.52</v>
      </c>
      <c r="I16" s="244"/>
      <c r="J16" s="251"/>
      <c r="K16" s="252"/>
      <c r="L16" s="253"/>
      <c r="M16" s="254"/>
      <c r="N16" s="252"/>
      <c r="O16" s="255"/>
      <c r="P16" s="250"/>
      <c r="Q16" s="254"/>
      <c r="R16" s="240"/>
      <c r="S16" s="240"/>
      <c r="T16" s="228"/>
    </row>
    <row r="17" spans="1:20" ht="30" x14ac:dyDescent="0.2">
      <c r="A17" s="163" t="s">
        <v>489</v>
      </c>
      <c r="B17" s="216" t="s">
        <v>490</v>
      </c>
      <c r="C17" s="213" t="s">
        <v>120</v>
      </c>
      <c r="D17" s="215">
        <v>4</v>
      </c>
      <c r="E17" s="213">
        <f>ROUND(423.14*1.2619,2)</f>
        <v>533.96</v>
      </c>
      <c r="F17" s="213">
        <f t="shared" si="0"/>
        <v>2135.84</v>
      </c>
      <c r="I17" s="244"/>
      <c r="J17" s="251"/>
      <c r="K17" s="252"/>
      <c r="L17" s="253"/>
      <c r="M17" s="254"/>
      <c r="N17" s="252"/>
      <c r="O17" s="255"/>
      <c r="P17" s="250"/>
      <c r="Q17" s="254"/>
      <c r="R17" s="240"/>
      <c r="S17" s="240"/>
      <c r="T17" s="228"/>
    </row>
    <row r="18" spans="1:20" ht="30" x14ac:dyDescent="0.2">
      <c r="A18" s="163" t="s">
        <v>491</v>
      </c>
      <c r="B18" s="221" t="s">
        <v>492</v>
      </c>
      <c r="C18" s="213" t="s">
        <v>120</v>
      </c>
      <c r="D18" s="215">
        <v>1</v>
      </c>
      <c r="E18" s="213">
        <f>ROUND(83.08*1.2619,2)</f>
        <v>104.84</v>
      </c>
      <c r="F18" s="213">
        <f t="shared" si="0"/>
        <v>104.84</v>
      </c>
      <c r="G18" s="174"/>
      <c r="I18" s="244"/>
      <c r="J18" s="251"/>
      <c r="K18" s="252"/>
      <c r="L18" s="253"/>
      <c r="M18" s="254"/>
      <c r="N18" s="252"/>
      <c r="O18" s="255"/>
      <c r="P18" s="250"/>
      <c r="Q18" s="254"/>
      <c r="R18" s="240"/>
      <c r="S18" s="240"/>
      <c r="T18" s="228"/>
    </row>
    <row r="19" spans="1:20" ht="15" x14ac:dyDescent="0.2">
      <c r="A19" s="163" t="s">
        <v>158</v>
      </c>
      <c r="B19" s="221" t="s">
        <v>493</v>
      </c>
      <c r="C19" s="213" t="s">
        <v>120</v>
      </c>
      <c r="D19" s="215">
        <v>2</v>
      </c>
      <c r="E19" s="215">
        <v>199</v>
      </c>
      <c r="F19" s="215">
        <f t="shared" si="0"/>
        <v>398</v>
      </c>
      <c r="I19" s="244"/>
      <c r="J19" s="251"/>
      <c r="K19" s="252"/>
      <c r="L19" s="253"/>
      <c r="M19" s="254"/>
      <c r="N19" s="252"/>
      <c r="O19" s="255"/>
      <c r="P19" s="250"/>
      <c r="Q19" s="254"/>
      <c r="R19" s="240"/>
      <c r="S19" s="240"/>
      <c r="T19" s="228"/>
    </row>
    <row r="20" spans="1:20" ht="15" x14ac:dyDescent="0.2">
      <c r="A20" s="163" t="s">
        <v>494</v>
      </c>
      <c r="B20" s="221" t="s">
        <v>495</v>
      </c>
      <c r="C20" s="213" t="s">
        <v>27</v>
      </c>
      <c r="D20" s="215">
        <v>4</v>
      </c>
      <c r="E20" s="213">
        <f>ROUND(19.05*1.2619,2)</f>
        <v>24.04</v>
      </c>
      <c r="F20" s="213">
        <f>ROUND(D20*E20,2)</f>
        <v>96.16</v>
      </c>
      <c r="G20" s="174"/>
      <c r="I20" s="244"/>
      <c r="J20" s="251"/>
      <c r="K20" s="252"/>
      <c r="L20" s="253"/>
      <c r="M20" s="254"/>
      <c r="N20" s="252"/>
      <c r="O20" s="255"/>
      <c r="P20" s="250"/>
      <c r="Q20" s="254"/>
      <c r="R20" s="240"/>
      <c r="S20" s="240"/>
      <c r="T20" s="228"/>
    </row>
    <row r="21" spans="1:20" ht="15" x14ac:dyDescent="0.2">
      <c r="A21" s="163" t="s">
        <v>158</v>
      </c>
      <c r="B21" s="216" t="s">
        <v>496</v>
      </c>
      <c r="C21" s="213" t="s">
        <v>120</v>
      </c>
      <c r="D21" s="215">
        <v>1</v>
      </c>
      <c r="E21" s="215">
        <v>21</v>
      </c>
      <c r="F21" s="213">
        <f>ROUND(D21*E20,2)</f>
        <v>24.04</v>
      </c>
      <c r="I21" s="244"/>
      <c r="J21" s="251"/>
      <c r="K21" s="252"/>
      <c r="L21" s="253"/>
      <c r="M21" s="254"/>
      <c r="N21" s="252"/>
      <c r="O21" s="255"/>
      <c r="P21" s="250"/>
      <c r="Q21" s="254"/>
      <c r="R21" s="240"/>
      <c r="S21" s="240"/>
      <c r="T21" s="228"/>
    </row>
    <row r="22" spans="1:20" ht="30" x14ac:dyDescent="0.2">
      <c r="A22" s="163" t="s">
        <v>497</v>
      </c>
      <c r="B22" s="221" t="s">
        <v>498</v>
      </c>
      <c r="C22" s="213" t="s">
        <v>120</v>
      </c>
      <c r="D22" s="215">
        <v>6</v>
      </c>
      <c r="E22" s="213">
        <f>ROUND(45.99*1.2619,2)</f>
        <v>58.03</v>
      </c>
      <c r="F22" s="213">
        <f t="shared" si="0"/>
        <v>348.18</v>
      </c>
      <c r="G22" s="174"/>
      <c r="I22" s="244"/>
      <c r="J22" s="251"/>
      <c r="K22" s="252"/>
      <c r="L22" s="253"/>
      <c r="M22" s="254"/>
      <c r="N22" s="252"/>
      <c r="O22" s="255"/>
      <c r="P22" s="250"/>
      <c r="Q22" s="254"/>
      <c r="R22" s="240"/>
      <c r="S22" s="240"/>
      <c r="T22" s="228"/>
    </row>
    <row r="23" spans="1:20" ht="14.25" customHeight="1" x14ac:dyDescent="0.2">
      <c r="A23" s="163" t="s">
        <v>499</v>
      </c>
      <c r="B23" s="221" t="s">
        <v>500</v>
      </c>
      <c r="C23" s="213" t="s">
        <v>120</v>
      </c>
      <c r="D23" s="215">
        <v>1</v>
      </c>
      <c r="E23" s="213">
        <f>ROUND(5.2*1.2619,2)</f>
        <v>6.56</v>
      </c>
      <c r="F23" s="213">
        <f>ROUND(D23*E23,2)</f>
        <v>6.56</v>
      </c>
      <c r="G23" s="174"/>
      <c r="I23" s="244"/>
      <c r="J23" s="251"/>
      <c r="K23" s="252"/>
      <c r="L23" s="253"/>
      <c r="M23" s="254"/>
      <c r="N23" s="252"/>
      <c r="O23" s="255"/>
      <c r="P23" s="250"/>
      <c r="Q23" s="254"/>
      <c r="R23" s="240"/>
      <c r="S23" s="240"/>
      <c r="T23" s="228"/>
    </row>
    <row r="24" spans="1:20" ht="30" x14ac:dyDescent="0.2">
      <c r="A24" s="163" t="s">
        <v>501</v>
      </c>
      <c r="B24" s="221" t="s">
        <v>502</v>
      </c>
      <c r="C24" s="213" t="s">
        <v>120</v>
      </c>
      <c r="D24" s="215">
        <v>1</v>
      </c>
      <c r="E24" s="213">
        <f>ROUND(10.51*1.2619,2)</f>
        <v>13.26</v>
      </c>
      <c r="F24" s="213">
        <f>ROUND(D24*E24,2)</f>
        <v>13.26</v>
      </c>
      <c r="G24" s="174"/>
      <c r="I24" s="244"/>
      <c r="J24" s="251"/>
      <c r="K24" s="252"/>
      <c r="L24" s="253"/>
      <c r="M24" s="254"/>
      <c r="N24" s="252"/>
      <c r="O24" s="255"/>
      <c r="P24" s="250"/>
      <c r="Q24" s="254"/>
      <c r="R24" s="240"/>
      <c r="S24" s="240"/>
      <c r="T24" s="228"/>
    </row>
    <row r="25" spans="1:20" ht="14.25" customHeight="1" x14ac:dyDescent="0.2">
      <c r="A25" s="163" t="s">
        <v>503</v>
      </c>
      <c r="B25" s="221" t="s">
        <v>504</v>
      </c>
      <c r="C25" s="213" t="s">
        <v>120</v>
      </c>
      <c r="D25" s="215">
        <v>4</v>
      </c>
      <c r="E25" s="213">
        <f>ROUND(3.69*1.2619,2)</f>
        <v>4.66</v>
      </c>
      <c r="F25" s="213">
        <f t="shared" si="0"/>
        <v>18.64</v>
      </c>
      <c r="G25" s="174"/>
      <c r="I25" s="244"/>
      <c r="J25" s="251"/>
      <c r="K25" s="252"/>
      <c r="L25" s="253"/>
      <c r="M25" s="254"/>
      <c r="N25" s="252"/>
      <c r="O25" s="255"/>
      <c r="P25" s="250"/>
      <c r="Q25" s="254"/>
      <c r="R25" s="240"/>
      <c r="S25" s="240"/>
      <c r="T25" s="228"/>
    </row>
    <row r="26" spans="1:20" ht="31.5" customHeight="1" x14ac:dyDescent="0.2">
      <c r="A26" s="163" t="s">
        <v>505</v>
      </c>
      <c r="B26" s="221" t="s">
        <v>506</v>
      </c>
      <c r="C26" s="213" t="s">
        <v>120</v>
      </c>
      <c r="D26" s="215">
        <v>1</v>
      </c>
      <c r="E26" s="213">
        <f>ROUND(7.04*1.2619,2)</f>
        <v>8.8800000000000008</v>
      </c>
      <c r="F26" s="213">
        <f t="shared" si="0"/>
        <v>8.8800000000000008</v>
      </c>
      <c r="G26" s="174"/>
      <c r="I26" s="244"/>
      <c r="J26" s="251"/>
      <c r="K26" s="252"/>
      <c r="L26" s="253"/>
      <c r="M26" s="254"/>
      <c r="N26" s="252"/>
      <c r="O26" s="255"/>
      <c r="P26" s="250"/>
      <c r="Q26" s="254"/>
      <c r="R26" s="240"/>
      <c r="S26" s="240"/>
      <c r="T26" s="228"/>
    </row>
    <row r="27" spans="1:20" ht="14.25" customHeight="1" x14ac:dyDescent="0.2">
      <c r="A27" s="163" t="s">
        <v>158</v>
      </c>
      <c r="B27" s="216" t="s">
        <v>507</v>
      </c>
      <c r="C27" s="213" t="s">
        <v>27</v>
      </c>
      <c r="D27" s="215">
        <v>18</v>
      </c>
      <c r="E27" s="213">
        <v>2.72</v>
      </c>
      <c r="F27" s="213">
        <f t="shared" si="0"/>
        <v>48.96</v>
      </c>
      <c r="I27" s="244"/>
      <c r="J27" s="251"/>
      <c r="K27" s="252"/>
      <c r="L27" s="253"/>
      <c r="M27" s="254"/>
      <c r="N27" s="252"/>
      <c r="O27" s="255"/>
      <c r="P27" s="250"/>
      <c r="Q27" s="254"/>
      <c r="R27" s="240"/>
      <c r="S27" s="240"/>
      <c r="T27" s="228"/>
    </row>
    <row r="28" spans="1:20" ht="36" customHeight="1" x14ac:dyDescent="0.2">
      <c r="A28" s="163" t="s">
        <v>508</v>
      </c>
      <c r="B28" s="216" t="s">
        <v>509</v>
      </c>
      <c r="C28" s="213" t="s">
        <v>27</v>
      </c>
      <c r="D28" s="215">
        <v>16</v>
      </c>
      <c r="E28" s="213">
        <f>ROUND(7.08*1.2619,2)</f>
        <v>8.93</v>
      </c>
      <c r="F28" s="213">
        <f t="shared" si="0"/>
        <v>142.88</v>
      </c>
      <c r="I28" s="244"/>
      <c r="J28" s="251"/>
      <c r="K28" s="252"/>
      <c r="L28" s="253"/>
      <c r="M28" s="254"/>
      <c r="N28" s="252"/>
      <c r="O28" s="255"/>
      <c r="P28" s="250"/>
      <c r="Q28" s="254"/>
      <c r="R28" s="240"/>
      <c r="S28" s="240"/>
      <c r="T28" s="228"/>
    </row>
    <row r="29" spans="1:20" ht="14.25" customHeight="1" x14ac:dyDescent="0.2">
      <c r="A29" s="163" t="s">
        <v>158</v>
      </c>
      <c r="B29" s="221" t="s">
        <v>510</v>
      </c>
      <c r="C29" s="213" t="s">
        <v>120</v>
      </c>
      <c r="D29" s="215">
        <v>5</v>
      </c>
      <c r="E29" s="213">
        <v>5.05</v>
      </c>
      <c r="F29" s="213">
        <f t="shared" si="0"/>
        <v>25.25</v>
      </c>
      <c r="I29" s="244"/>
      <c r="J29" s="251"/>
      <c r="K29" s="252"/>
      <c r="L29" s="253"/>
      <c r="M29" s="254"/>
      <c r="N29" s="252"/>
      <c r="O29" s="255"/>
      <c r="P29" s="250"/>
      <c r="Q29" s="254"/>
      <c r="R29" s="240"/>
      <c r="S29" s="240"/>
      <c r="T29" s="228"/>
    </row>
    <row r="30" spans="1:20" ht="14.25" customHeight="1" x14ac:dyDescent="0.2">
      <c r="A30" s="163" t="s">
        <v>511</v>
      </c>
      <c r="B30" s="216" t="s">
        <v>512</v>
      </c>
      <c r="C30" s="213" t="s">
        <v>27</v>
      </c>
      <c r="D30" s="215">
        <v>1.5</v>
      </c>
      <c r="E30" s="213">
        <v>73.05</v>
      </c>
      <c r="F30" s="213">
        <f t="shared" si="0"/>
        <v>109.58</v>
      </c>
      <c r="I30" s="244"/>
      <c r="J30" s="251"/>
      <c r="K30" s="252"/>
      <c r="L30" s="253"/>
      <c r="M30" s="254"/>
      <c r="N30" s="252"/>
      <c r="O30" s="255"/>
      <c r="P30" s="250"/>
      <c r="Q30" s="254"/>
      <c r="R30" s="240"/>
      <c r="S30" s="240"/>
      <c r="T30" s="228"/>
    </row>
    <row r="31" spans="1:20" ht="30.75" customHeight="1" x14ac:dyDescent="0.2">
      <c r="A31" s="163" t="s">
        <v>513</v>
      </c>
      <c r="B31" s="216" t="s">
        <v>514</v>
      </c>
      <c r="C31" s="213" t="s">
        <v>120</v>
      </c>
      <c r="D31" s="215">
        <v>2</v>
      </c>
      <c r="E31" s="213">
        <f>ROUND(80.88*1.2619,2)</f>
        <v>102.06</v>
      </c>
      <c r="F31" s="213">
        <f t="shared" si="0"/>
        <v>204.12</v>
      </c>
      <c r="I31" s="244"/>
      <c r="J31" s="251"/>
      <c r="K31" s="252"/>
      <c r="L31" s="253"/>
      <c r="M31" s="254"/>
      <c r="N31" s="252"/>
      <c r="O31" s="255"/>
      <c r="P31" s="250"/>
      <c r="Q31" s="254"/>
      <c r="R31" s="240"/>
      <c r="S31" s="240"/>
      <c r="T31" s="228"/>
    </row>
    <row r="32" spans="1:20" ht="14.25" customHeight="1" x14ac:dyDescent="0.2">
      <c r="A32" s="163" t="s">
        <v>158</v>
      </c>
      <c r="B32" s="216" t="s">
        <v>515</v>
      </c>
      <c r="C32" s="213" t="s">
        <v>27</v>
      </c>
      <c r="D32" s="215">
        <v>36</v>
      </c>
      <c r="E32" s="256">
        <v>41.5</v>
      </c>
      <c r="F32" s="213">
        <f t="shared" si="0"/>
        <v>1494</v>
      </c>
      <c r="I32" s="244"/>
      <c r="J32" s="251"/>
      <c r="K32" s="252"/>
      <c r="L32" s="253"/>
      <c r="M32" s="254"/>
      <c r="N32" s="252"/>
      <c r="O32" s="255"/>
      <c r="P32" s="250"/>
      <c r="Q32" s="254"/>
      <c r="R32" s="240"/>
      <c r="S32" s="240"/>
      <c r="T32" s="228"/>
    </row>
    <row r="33" spans="1:20" ht="14.25" customHeight="1" x14ac:dyDescent="0.2">
      <c r="A33" s="163" t="s">
        <v>158</v>
      </c>
      <c r="B33" s="221" t="s">
        <v>516</v>
      </c>
      <c r="C33" s="213" t="s">
        <v>120</v>
      </c>
      <c r="D33" s="215">
        <v>2</v>
      </c>
      <c r="E33" s="213">
        <v>87.9</v>
      </c>
      <c r="F33" s="215">
        <f t="shared" si="0"/>
        <v>175.8</v>
      </c>
      <c r="I33" s="244"/>
      <c r="J33" s="251"/>
      <c r="K33" s="252"/>
      <c r="L33" s="253"/>
      <c r="M33" s="254"/>
      <c r="N33" s="252"/>
      <c r="O33" s="255"/>
      <c r="P33" s="250"/>
      <c r="Q33" s="254"/>
      <c r="R33" s="240"/>
      <c r="S33" s="240"/>
      <c r="T33" s="228"/>
    </row>
    <row r="34" spans="1:20" ht="14.25" customHeight="1" x14ac:dyDescent="0.2">
      <c r="A34" s="163" t="s">
        <v>158</v>
      </c>
      <c r="B34" s="221" t="s">
        <v>517</v>
      </c>
      <c r="C34" s="213" t="s">
        <v>120</v>
      </c>
      <c r="D34" s="215">
        <v>1</v>
      </c>
      <c r="E34" s="213">
        <v>39.99</v>
      </c>
      <c r="F34" s="213">
        <f t="shared" si="0"/>
        <v>39.99</v>
      </c>
      <c r="I34" s="244"/>
      <c r="J34" s="251"/>
      <c r="K34" s="252"/>
      <c r="L34" s="253"/>
      <c r="M34" s="254"/>
      <c r="N34" s="252"/>
      <c r="O34" s="255"/>
      <c r="P34" s="250"/>
      <c r="Q34" s="254"/>
      <c r="R34" s="240"/>
      <c r="S34" s="240"/>
      <c r="T34" s="228"/>
    </row>
    <row r="35" spans="1:20" ht="14.25" customHeight="1" x14ac:dyDescent="0.2">
      <c r="A35" s="163" t="s">
        <v>158</v>
      </c>
      <c r="B35" s="216" t="s">
        <v>518</v>
      </c>
      <c r="C35" s="213" t="s">
        <v>27</v>
      </c>
      <c r="D35" s="215">
        <v>4</v>
      </c>
      <c r="E35" s="215">
        <v>8.3000000000000007</v>
      </c>
      <c r="F35" s="213">
        <f t="shared" si="0"/>
        <v>33.200000000000003</v>
      </c>
      <c r="I35" s="244"/>
      <c r="J35" s="251"/>
      <c r="K35" s="252"/>
      <c r="L35" s="253"/>
      <c r="M35" s="254"/>
      <c r="N35" s="252"/>
      <c r="O35" s="255"/>
      <c r="P35" s="250"/>
      <c r="Q35" s="254"/>
      <c r="R35" s="240"/>
      <c r="S35" s="240"/>
      <c r="T35" s="228"/>
    </row>
    <row r="36" spans="1:20" ht="45" x14ac:dyDescent="0.2">
      <c r="A36" s="163" t="s">
        <v>519</v>
      </c>
      <c r="B36" s="221" t="s">
        <v>487</v>
      </c>
      <c r="C36" s="213" t="s">
        <v>120</v>
      </c>
      <c r="D36" s="215">
        <v>1</v>
      </c>
      <c r="E36" s="213">
        <f>ROUND(18.34*1.2619,2)</f>
        <v>23.14</v>
      </c>
      <c r="F36" s="213">
        <f t="shared" si="0"/>
        <v>23.14</v>
      </c>
      <c r="G36" s="174"/>
      <c r="I36" s="244"/>
      <c r="J36" s="251"/>
      <c r="K36" s="252"/>
      <c r="L36" s="253"/>
      <c r="M36" s="254"/>
      <c r="N36" s="252"/>
      <c r="O36" s="255"/>
      <c r="P36" s="250"/>
      <c r="Q36" s="254"/>
      <c r="R36" s="240"/>
      <c r="S36" s="240"/>
      <c r="T36" s="228"/>
    </row>
    <row r="37" spans="1:20" ht="14.25" customHeight="1" x14ac:dyDescent="0.2">
      <c r="A37" s="163" t="s">
        <v>158</v>
      </c>
      <c r="B37" s="221" t="s">
        <v>520</v>
      </c>
      <c r="C37" s="213" t="s">
        <v>120</v>
      </c>
      <c r="D37" s="215">
        <v>3</v>
      </c>
      <c r="E37" s="213">
        <v>6.09</v>
      </c>
      <c r="F37" s="213">
        <f t="shared" si="0"/>
        <v>18.27</v>
      </c>
      <c r="I37" s="244"/>
      <c r="J37" s="251"/>
      <c r="K37" s="252"/>
      <c r="L37" s="253"/>
      <c r="M37" s="254"/>
      <c r="N37" s="252"/>
      <c r="O37" s="255"/>
      <c r="P37" s="250"/>
      <c r="Q37" s="254"/>
      <c r="R37" s="240"/>
      <c r="S37" s="240"/>
      <c r="T37" s="228"/>
    </row>
    <row r="38" spans="1:20" ht="14.25" customHeight="1" x14ac:dyDescent="0.2">
      <c r="A38" s="163" t="s">
        <v>158</v>
      </c>
      <c r="B38" s="216" t="s">
        <v>521</v>
      </c>
      <c r="C38" s="213" t="s">
        <v>27</v>
      </c>
      <c r="D38" s="215">
        <v>96</v>
      </c>
      <c r="E38" s="213">
        <v>7.15</v>
      </c>
      <c r="F38" s="213">
        <f t="shared" si="0"/>
        <v>686.4</v>
      </c>
      <c r="I38" s="244"/>
      <c r="J38" s="251"/>
      <c r="K38" s="252"/>
      <c r="L38" s="253"/>
      <c r="M38" s="254"/>
      <c r="N38" s="252"/>
      <c r="O38" s="255"/>
      <c r="P38" s="250"/>
      <c r="Q38" s="254"/>
      <c r="R38" s="240"/>
      <c r="S38" s="240"/>
      <c r="T38" s="228"/>
    </row>
    <row r="39" spans="1:20" ht="14.25" customHeight="1" x14ac:dyDescent="0.2">
      <c r="A39" s="163" t="s">
        <v>158</v>
      </c>
      <c r="B39" s="221" t="s">
        <v>522</v>
      </c>
      <c r="C39" s="213" t="s">
        <v>120</v>
      </c>
      <c r="D39" s="215">
        <v>1</v>
      </c>
      <c r="E39" s="213">
        <v>18.940000000000001</v>
      </c>
      <c r="F39" s="213">
        <f t="shared" si="0"/>
        <v>18.940000000000001</v>
      </c>
      <c r="I39" s="244"/>
      <c r="J39" s="251"/>
      <c r="K39" s="252"/>
      <c r="L39" s="253"/>
      <c r="M39" s="254"/>
      <c r="N39" s="252"/>
      <c r="O39" s="255"/>
      <c r="P39" s="250"/>
      <c r="Q39" s="254"/>
      <c r="R39" s="240"/>
      <c r="S39" s="240"/>
      <c r="T39" s="228"/>
    </row>
    <row r="40" spans="1:20" ht="14.25" customHeight="1" x14ac:dyDescent="0.2">
      <c r="A40" s="163" t="s">
        <v>158</v>
      </c>
      <c r="B40" s="216" t="s">
        <v>523</v>
      </c>
      <c r="C40" s="213" t="s">
        <v>120</v>
      </c>
      <c r="D40" s="215">
        <v>1</v>
      </c>
      <c r="E40" s="213">
        <v>10.94</v>
      </c>
      <c r="F40" s="213">
        <f t="shared" si="0"/>
        <v>10.94</v>
      </c>
      <c r="I40" s="244"/>
      <c r="J40" s="251"/>
      <c r="K40" s="252"/>
      <c r="L40" s="253"/>
      <c r="M40" s="254"/>
      <c r="N40" s="252"/>
      <c r="O40" s="255"/>
      <c r="P40" s="250"/>
      <c r="Q40" s="254"/>
      <c r="R40" s="240"/>
      <c r="S40" s="240"/>
      <c r="T40" s="228"/>
    </row>
    <row r="41" spans="1:20" ht="14.25" customHeight="1" x14ac:dyDescent="0.2">
      <c r="A41" s="163" t="s">
        <v>524</v>
      </c>
      <c r="B41" s="221" t="s">
        <v>525</v>
      </c>
      <c r="C41" s="213" t="s">
        <v>120</v>
      </c>
      <c r="D41" s="215">
        <v>3</v>
      </c>
      <c r="E41" s="213">
        <f>ROUND(20.67*1.2619,2)</f>
        <v>26.08</v>
      </c>
      <c r="F41" s="213">
        <f t="shared" si="0"/>
        <v>78.239999999999995</v>
      </c>
      <c r="G41" s="174"/>
      <c r="I41" s="244"/>
      <c r="J41" s="251"/>
      <c r="K41" s="252"/>
      <c r="L41" s="253"/>
      <c r="M41" s="254"/>
      <c r="N41" s="252"/>
      <c r="O41" s="255"/>
      <c r="P41" s="250"/>
      <c r="Q41" s="254"/>
      <c r="R41" s="240"/>
      <c r="S41" s="240"/>
      <c r="T41" s="228"/>
    </row>
    <row r="42" spans="1:20" ht="18" customHeight="1" x14ac:dyDescent="0.2">
      <c r="A42" s="163" t="s">
        <v>526</v>
      </c>
      <c r="B42" s="221" t="s">
        <v>391</v>
      </c>
      <c r="C42" s="213" t="s">
        <v>120</v>
      </c>
      <c r="D42" s="215">
        <v>1</v>
      </c>
      <c r="E42" s="213">
        <f>ROUND(20.72*1.2619,2)</f>
        <v>26.15</v>
      </c>
      <c r="F42" s="213">
        <f t="shared" si="0"/>
        <v>26.15</v>
      </c>
      <c r="G42" s="174"/>
      <c r="I42" s="244"/>
      <c r="J42" s="251"/>
      <c r="K42" s="252"/>
      <c r="L42" s="253"/>
      <c r="M42" s="254"/>
      <c r="N42" s="252"/>
      <c r="O42" s="255"/>
      <c r="P42" s="250"/>
      <c r="Q42" s="254"/>
      <c r="R42" s="240"/>
      <c r="S42" s="240"/>
      <c r="T42" s="228"/>
    </row>
    <row r="43" spans="1:20" ht="14.25" customHeight="1" x14ac:dyDescent="0.2">
      <c r="A43" s="163" t="s">
        <v>527</v>
      </c>
      <c r="B43" s="221" t="s">
        <v>528</v>
      </c>
      <c r="C43" s="213" t="s">
        <v>120</v>
      </c>
      <c r="D43" s="215">
        <v>1</v>
      </c>
      <c r="E43" s="213">
        <f>ROUND(54.57*1.2619,2)</f>
        <v>68.86</v>
      </c>
      <c r="F43" s="213">
        <f t="shared" si="0"/>
        <v>68.86</v>
      </c>
      <c r="G43" s="174"/>
      <c r="I43" s="244"/>
      <c r="J43" s="251"/>
      <c r="K43" s="252"/>
      <c r="L43" s="253"/>
      <c r="M43" s="254"/>
      <c r="N43" s="252"/>
      <c r="O43" s="255"/>
      <c r="P43" s="250"/>
      <c r="Q43" s="254"/>
      <c r="R43" s="240"/>
      <c r="S43" s="240"/>
      <c r="T43" s="228"/>
    </row>
    <row r="44" spans="1:20" ht="30" x14ac:dyDescent="0.2">
      <c r="A44" s="163" t="s">
        <v>529</v>
      </c>
      <c r="B44" s="221" t="s">
        <v>530</v>
      </c>
      <c r="C44" s="213" t="s">
        <v>120</v>
      </c>
      <c r="D44" s="215">
        <v>2</v>
      </c>
      <c r="E44" s="213">
        <f>ROUND(37.51*1.2619,2)</f>
        <v>47.33</v>
      </c>
      <c r="F44" s="213">
        <f t="shared" si="0"/>
        <v>94.66</v>
      </c>
      <c r="G44" s="174"/>
      <c r="I44" s="244"/>
      <c r="J44" s="251"/>
      <c r="K44" s="252"/>
      <c r="L44" s="253"/>
      <c r="M44" s="254"/>
      <c r="N44" s="252"/>
      <c r="O44" s="255"/>
      <c r="P44" s="250"/>
      <c r="Q44" s="254"/>
      <c r="R44" s="240"/>
      <c r="S44" s="240"/>
      <c r="T44" s="228"/>
    </row>
    <row r="45" spans="1:20" ht="30" x14ac:dyDescent="0.2">
      <c r="A45" s="163" t="s">
        <v>531</v>
      </c>
      <c r="B45" s="221" t="s">
        <v>532</v>
      </c>
      <c r="C45" s="213" t="s">
        <v>120</v>
      </c>
      <c r="D45" s="215">
        <v>2</v>
      </c>
      <c r="E45" s="213">
        <f>ROUND(0.64*1.2619,2)</f>
        <v>0.81</v>
      </c>
      <c r="F45" s="213">
        <f t="shared" si="0"/>
        <v>1.62</v>
      </c>
      <c r="G45" s="174"/>
      <c r="I45" s="244"/>
      <c r="J45" s="251"/>
      <c r="K45" s="252"/>
      <c r="L45" s="253"/>
      <c r="M45" s="254"/>
      <c r="N45" s="252"/>
      <c r="O45" s="255"/>
      <c r="P45" s="250"/>
      <c r="Q45" s="254"/>
      <c r="R45" s="240"/>
      <c r="S45" s="240"/>
      <c r="T45" s="228"/>
    </row>
    <row r="46" spans="1:20" ht="30" x14ac:dyDescent="0.2">
      <c r="A46" s="163" t="s">
        <v>533</v>
      </c>
      <c r="B46" s="221" t="s">
        <v>534</v>
      </c>
      <c r="C46" s="213" t="s">
        <v>120</v>
      </c>
      <c r="D46" s="215">
        <v>1</v>
      </c>
      <c r="E46" s="213">
        <f>ROUND(105.62*1.2619,2)</f>
        <v>133.28</v>
      </c>
      <c r="F46" s="213">
        <f t="shared" si="0"/>
        <v>133.28</v>
      </c>
      <c r="G46" s="174"/>
      <c r="I46" s="244"/>
      <c r="J46" s="251"/>
      <c r="K46" s="252"/>
      <c r="L46" s="253"/>
      <c r="M46" s="254"/>
      <c r="N46" s="252"/>
      <c r="O46" s="255"/>
      <c r="P46" s="250"/>
      <c r="Q46" s="254"/>
      <c r="R46" s="240"/>
      <c r="S46" s="240"/>
      <c r="T46" s="228"/>
    </row>
    <row r="47" spans="1:20" ht="14.25" customHeight="1" x14ac:dyDescent="0.2">
      <c r="A47" s="163" t="s">
        <v>158</v>
      </c>
      <c r="B47" s="216" t="s">
        <v>535</v>
      </c>
      <c r="C47" s="213" t="s">
        <v>120</v>
      </c>
      <c r="D47" s="215">
        <v>4</v>
      </c>
      <c r="E47" s="213">
        <v>69.989999999999995</v>
      </c>
      <c r="F47" s="213">
        <f t="shared" si="0"/>
        <v>279.95999999999998</v>
      </c>
      <c r="I47" s="244"/>
      <c r="J47" s="251"/>
      <c r="K47" s="252"/>
      <c r="L47" s="253"/>
      <c r="M47" s="254"/>
      <c r="N47" s="252"/>
      <c r="O47" s="255"/>
      <c r="P47" s="250"/>
      <c r="Q47" s="254"/>
      <c r="R47" s="240"/>
      <c r="S47" s="240"/>
      <c r="T47" s="228"/>
    </row>
    <row r="48" spans="1:20" ht="14.25" customHeight="1" x14ac:dyDescent="0.2">
      <c r="A48" s="163" t="s">
        <v>536</v>
      </c>
      <c r="B48" s="221" t="s">
        <v>537</v>
      </c>
      <c r="C48" s="213" t="s">
        <v>27</v>
      </c>
      <c r="D48" s="215">
        <v>10</v>
      </c>
      <c r="E48" s="213">
        <f>ROUND(31.66*1.2619,2)</f>
        <v>39.950000000000003</v>
      </c>
      <c r="F48" s="213">
        <f t="shared" si="0"/>
        <v>399.5</v>
      </c>
      <c r="G48" s="174"/>
      <c r="I48" s="244"/>
      <c r="J48" s="251"/>
      <c r="K48" s="252"/>
      <c r="L48" s="253"/>
      <c r="M48" s="254"/>
      <c r="N48" s="252"/>
      <c r="O48" s="255"/>
      <c r="P48" s="250"/>
      <c r="Q48" s="254"/>
      <c r="R48" s="240"/>
      <c r="S48" s="240"/>
      <c r="T48" s="228"/>
    </row>
    <row r="49" spans="1:20" ht="32.25" customHeight="1" x14ac:dyDescent="0.2">
      <c r="A49" s="163" t="s">
        <v>538</v>
      </c>
      <c r="B49" s="216" t="s">
        <v>539</v>
      </c>
      <c r="C49" s="213" t="s">
        <v>120</v>
      </c>
      <c r="D49" s="215">
        <v>4</v>
      </c>
      <c r="E49" s="213">
        <f>ROUND(203.08*1.2619,2)</f>
        <v>256.27</v>
      </c>
      <c r="F49" s="213">
        <f t="shared" si="0"/>
        <v>1025.08</v>
      </c>
      <c r="I49" s="244"/>
      <c r="J49" s="251"/>
      <c r="K49" s="252"/>
      <c r="L49" s="253"/>
      <c r="M49" s="254"/>
      <c r="N49" s="252"/>
      <c r="O49" s="255"/>
      <c r="P49" s="250"/>
      <c r="Q49" s="254"/>
      <c r="R49" s="240"/>
      <c r="S49" s="240"/>
      <c r="T49" s="228"/>
    </row>
    <row r="50" spans="1:20" ht="14.25" customHeight="1" x14ac:dyDescent="0.2">
      <c r="A50" s="163" t="s">
        <v>540</v>
      </c>
      <c r="B50" s="221" t="s">
        <v>541</v>
      </c>
      <c r="C50" s="213" t="s">
        <v>120</v>
      </c>
      <c r="D50" s="215">
        <v>4</v>
      </c>
      <c r="E50" s="213">
        <f>ROUND(51.6*1.2619,2)</f>
        <v>65.11</v>
      </c>
      <c r="F50" s="213">
        <f t="shared" si="0"/>
        <v>260.44</v>
      </c>
      <c r="I50" s="244"/>
      <c r="J50" s="251"/>
      <c r="K50" s="252"/>
      <c r="L50" s="253"/>
      <c r="M50" s="254"/>
      <c r="N50" s="252"/>
      <c r="O50" s="255"/>
      <c r="P50" s="250"/>
      <c r="Q50" s="254"/>
      <c r="R50" s="240"/>
      <c r="S50" s="240"/>
      <c r="T50" s="228"/>
    </row>
    <row r="51" spans="1:20" ht="15" customHeight="1" x14ac:dyDescent="0.2">
      <c r="A51" s="163" t="s">
        <v>542</v>
      </c>
      <c r="B51" s="221" t="s">
        <v>543</v>
      </c>
      <c r="C51" s="213" t="s">
        <v>120</v>
      </c>
      <c r="D51" s="215">
        <v>2</v>
      </c>
      <c r="E51" s="213">
        <f>ROUND(142.12*1.2619,2)</f>
        <v>179.34</v>
      </c>
      <c r="F51" s="213">
        <f t="shared" si="0"/>
        <v>358.68</v>
      </c>
      <c r="I51" s="244"/>
      <c r="J51" s="251"/>
      <c r="K51" s="252"/>
      <c r="L51" s="253"/>
      <c r="M51" s="254"/>
      <c r="N51" s="252"/>
      <c r="O51" s="255"/>
      <c r="P51" s="250"/>
      <c r="Q51" s="254"/>
      <c r="R51" s="240"/>
      <c r="S51" s="240"/>
      <c r="T51" s="228"/>
    </row>
    <row r="52" spans="1:20" ht="33.75" customHeight="1" x14ac:dyDescent="0.2">
      <c r="A52" s="163" t="s">
        <v>544</v>
      </c>
      <c r="B52" s="221" t="s">
        <v>545</v>
      </c>
      <c r="C52" s="213" t="s">
        <v>120</v>
      </c>
      <c r="D52" s="215">
        <v>6</v>
      </c>
      <c r="E52" s="213">
        <f>ROUND(20.86*1.2619,2)</f>
        <v>26.32</v>
      </c>
      <c r="F52" s="213">
        <f t="shared" si="0"/>
        <v>157.91999999999999</v>
      </c>
      <c r="I52" s="244"/>
      <c r="J52" s="251"/>
      <c r="K52" s="252"/>
      <c r="L52" s="253"/>
      <c r="M52" s="254"/>
      <c r="N52" s="252"/>
      <c r="O52" s="255"/>
      <c r="P52" s="250"/>
      <c r="Q52" s="254"/>
      <c r="R52" s="240"/>
      <c r="S52" s="240"/>
      <c r="T52" s="228"/>
    </row>
    <row r="53" spans="1:20" ht="22.5" customHeight="1" x14ac:dyDescent="0.2">
      <c r="A53" s="163" t="s">
        <v>546</v>
      </c>
      <c r="B53" s="221" t="s">
        <v>547</v>
      </c>
      <c r="C53" s="213" t="s">
        <v>348</v>
      </c>
      <c r="D53" s="222">
        <v>2</v>
      </c>
      <c r="E53" s="213">
        <f>ROUND(8.81*1.2619,2)</f>
        <v>11.12</v>
      </c>
      <c r="F53" s="213">
        <f t="shared" si="0"/>
        <v>22.24</v>
      </c>
      <c r="I53" s="228"/>
      <c r="J53" s="251"/>
      <c r="K53" s="252"/>
      <c r="L53" s="253"/>
      <c r="M53" s="237"/>
      <c r="N53" s="252"/>
      <c r="O53" s="255"/>
      <c r="P53" s="250"/>
      <c r="Q53" s="254"/>
      <c r="R53" s="240"/>
      <c r="S53" s="240"/>
      <c r="T53" s="228"/>
    </row>
    <row r="54" spans="1:20" ht="27.75" customHeight="1" x14ac:dyDescent="0.2">
      <c r="A54" s="163" t="s">
        <v>415</v>
      </c>
      <c r="B54" s="221" t="s">
        <v>416</v>
      </c>
      <c r="C54" s="213" t="s">
        <v>348</v>
      </c>
      <c r="D54" s="222">
        <v>3</v>
      </c>
      <c r="E54" s="213">
        <f>ROUND(10.23*1.2619,2)</f>
        <v>12.91</v>
      </c>
      <c r="F54" s="213">
        <f>ROUND(D54*E54,2)</f>
        <v>38.729999999999997</v>
      </c>
      <c r="I54" s="228"/>
      <c r="J54" s="251"/>
      <c r="K54" s="257"/>
      <c r="L54" s="253"/>
      <c r="M54" s="250"/>
      <c r="N54" s="252"/>
      <c r="O54" s="255"/>
      <c r="P54" s="250"/>
      <c r="Q54" s="254"/>
      <c r="R54" s="240"/>
      <c r="S54" s="240"/>
      <c r="T54" s="228"/>
    </row>
    <row r="55" spans="1:20" ht="15" x14ac:dyDescent="0.25">
      <c r="A55" s="144"/>
      <c r="B55" s="144"/>
      <c r="C55" s="144"/>
      <c r="D55" s="165"/>
      <c r="E55" s="144"/>
      <c r="F55" s="144"/>
      <c r="I55" s="228"/>
      <c r="J55" s="251"/>
      <c r="K55" s="257"/>
      <c r="L55" s="253"/>
      <c r="M55" s="250"/>
      <c r="N55" s="236"/>
      <c r="O55" s="253"/>
      <c r="P55" s="239"/>
      <c r="Q55" s="258"/>
      <c r="R55" s="240"/>
      <c r="S55" s="241"/>
      <c r="T55" s="228"/>
    </row>
    <row r="56" spans="1:20" ht="14.25" x14ac:dyDescent="0.2">
      <c r="E56" s="166" t="s">
        <v>311</v>
      </c>
      <c r="F56" s="259">
        <f>SUM(F6:F54)</f>
        <v>16364.18</v>
      </c>
    </row>
  </sheetData>
  <mergeCells count="3">
    <mergeCell ref="A1:F1"/>
    <mergeCell ref="L1:Q1"/>
    <mergeCell ref="B3:F3"/>
  </mergeCells>
  <pageMargins left="0.51181102362204722" right="0.51181102362204722" top="0.78740157480314965" bottom="0.78740157480314965" header="0.31496062992125984" footer="0.31496062992125984"/>
  <pageSetup paperSize="9" scale="8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23</vt:i4>
      </vt:variant>
      <vt:variant>
        <vt:lpstr>Intervalos Nomeados</vt:lpstr>
      </vt:variant>
      <vt:variant>
        <vt:i4>15</vt:i4>
      </vt:variant>
    </vt:vector>
  </HeadingPairs>
  <TitlesOfParts>
    <vt:vector size="38" baseType="lpstr">
      <vt:lpstr>PLANILHA</vt:lpstr>
      <vt:lpstr>MEMÓRIA DE CÁLCULO</vt:lpstr>
      <vt:lpstr>CRONOGRAMA</vt:lpstr>
      <vt:lpstr>COMP 1</vt:lpstr>
      <vt:lpstr>COMP 02</vt:lpstr>
      <vt:lpstr>COMP 3</vt:lpstr>
      <vt:lpstr>COMP 4</vt:lpstr>
      <vt:lpstr>COMP 5</vt:lpstr>
      <vt:lpstr>COMP 6 </vt:lpstr>
      <vt:lpstr>COMP 7</vt:lpstr>
      <vt:lpstr>COMP 8</vt:lpstr>
      <vt:lpstr>COMP 9</vt:lpstr>
      <vt:lpstr>COMP 10</vt:lpstr>
      <vt:lpstr>COMP 11</vt:lpstr>
      <vt:lpstr>COMP 12</vt:lpstr>
      <vt:lpstr>COMP 13</vt:lpstr>
      <vt:lpstr>COMP 14</vt:lpstr>
      <vt:lpstr>COMP 15</vt:lpstr>
      <vt:lpstr>COMP 16</vt:lpstr>
      <vt:lpstr>COMP 17</vt:lpstr>
      <vt:lpstr>COMP 18</vt:lpstr>
      <vt:lpstr>COMP 19</vt:lpstr>
      <vt:lpstr>COMP 20</vt:lpstr>
      <vt:lpstr>'COMP 02'!Area_de_impressao</vt:lpstr>
      <vt:lpstr>'COMP 11'!Area_de_impressao</vt:lpstr>
      <vt:lpstr>'COMP 12'!Area_de_impressao</vt:lpstr>
      <vt:lpstr>'COMP 15'!Area_de_impressao</vt:lpstr>
      <vt:lpstr>'COMP 17'!Area_de_impressao</vt:lpstr>
      <vt:lpstr>'COMP 20'!Area_de_impressao</vt:lpstr>
      <vt:lpstr>'COMP 3'!Area_de_impressao</vt:lpstr>
      <vt:lpstr>'COMP 6 '!Area_de_impressao</vt:lpstr>
      <vt:lpstr>'COMP 7'!Area_de_impressao</vt:lpstr>
      <vt:lpstr>'COMP 8'!Area_de_impressao</vt:lpstr>
      <vt:lpstr>'COMP 9'!Area_de_impressao</vt:lpstr>
      <vt:lpstr>CRONOGRAMA!Area_de_impressao</vt:lpstr>
      <vt:lpstr>'MEMÓRIA DE CÁLCULO'!Area_de_impressao</vt:lpstr>
      <vt:lpstr>PLANILHA!Area_de_impressao</vt:lpstr>
      <vt:lpstr>PLANILHA!Titulos_de_impressao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</dc:creator>
  <cp:lastModifiedBy>Marcelo Rigo Magnago</cp:lastModifiedBy>
  <cp:lastPrinted>2018-09-17T18:13:43Z</cp:lastPrinted>
  <dcterms:created xsi:type="dcterms:W3CDTF">2009-04-27T01:59:54Z</dcterms:created>
  <dcterms:modified xsi:type="dcterms:W3CDTF">2018-09-17T18:14:21Z</dcterms:modified>
</cp:coreProperties>
</file>